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ло" sheetId="1" state="visible" r:id="rId1"/>
    <sheet xmlns:r="http://schemas.openxmlformats.org/officeDocument/2006/relationships" name="Брони" sheetId="2" state="visible" r:id="rId2"/>
    <sheet xmlns:r="http://schemas.openxmlformats.org/officeDocument/2006/relationships" name="Парк" sheetId="3" state="visible" r:id="rId3"/>
    <sheet xmlns:r="http://schemas.openxmlformats.org/officeDocument/2006/relationships" name="Начисления" sheetId="4" state="visible" r:id="rId4"/>
    <sheet xmlns:r="http://schemas.openxmlformats.org/officeDocument/2006/relationships" name="Залоги" sheetId="5" state="visible" r:id="rId5"/>
    <sheet xmlns:r="http://schemas.openxmlformats.org/officeDocument/2006/relationships" name="Сводка" sheetId="6" state="visible" r:id="rId6"/>
    <sheet xmlns:r="http://schemas.openxmlformats.org/officeDocument/2006/relationships" name="Настройки" sheetId="7" state="visible" r:id="rId7"/>
  </sheets>
  <definedNames>
    <definedName name="_xlnm._FilterDatabase" localSheetId="1" hidden="1">'Брони'!$A$1:$U$500</definedName>
    <definedName name="_xlnm._FilterDatabase" localSheetId="2" hidden="1">'Парк'!$A$1:$P$51</definedName>
    <definedName name="_xlnm._FilterDatabase" localSheetId="3" hidden="1">'Начисления'!$A$1:$Q$1000</definedName>
    <definedName name="_xlnm._FilterDatabase" localSheetId="4" hidden="1">'Залоги'!$A$1:$O$500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"/>
    <numFmt numFmtId="165" formatCode="0.0"/>
    <numFmt numFmtId="166" formatCode="yyyy-mm-dd"/>
    <numFmt numFmtId="167" formatCode="0.0%"/>
  </numFmts>
  <fonts count="7">
    <font>
      <name val="Calibri"/>
      <family val="2"/>
      <color theme="1"/>
      <sz val="11"/>
      <scheme val="minor"/>
    </font>
    <font>
      <b val="1"/>
    </font>
    <font>
      <b val="1"/>
      <color rgb="007A7F8C"/>
    </font>
    <font>
      <color rgb="007A7F8C"/>
    </font>
    <font>
      <color rgb="001A63CC"/>
      <u val="single"/>
    </font>
    <font>
      <b val="1"/>
      <sz val="16"/>
    </font>
    <font>
      <color rgb="007A7F8C"/>
      <sz val="12"/>
    </font>
  </fonts>
  <fills count="3">
    <fill>
      <patternFill/>
    </fill>
    <fill>
      <patternFill patternType="gray125"/>
    </fill>
    <fill>
      <patternFill patternType="solid">
        <fgColor rgb="00F5F6F8"/>
        <bgColor rgb="00F5F6F8"/>
      </patternFill>
    </fill>
  </fills>
  <borders count="2">
    <border>
      <left/>
      <right/>
      <top/>
      <bottom/>
      <diagonal/>
    </border>
    <border>
      <bottom style="thin">
        <color rgb="00D3D6DE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0" fontId="0" fillId="2" borderId="0" pivotButton="0" quotePrefix="0" xfId="0"/>
    <xf numFmtId="1" fontId="0" fillId="2" borderId="0" pivotButton="0" quotePrefix="0" xfId="0"/>
    <xf numFmtId="4" fontId="0" fillId="0" borderId="0" applyProtection="1" pivotButton="0" quotePrefix="0" xfId="0">
      <protection locked="0" hidden="0"/>
    </xf>
    <xf numFmtId="4" fontId="0" fillId="2" borderId="0" pivotButton="0" quotePrefix="0" xfId="0"/>
    <xf numFmtId="164" fontId="0" fillId="2" borderId="0" pivotButton="0" quotePrefix="0" xfId="0"/>
    <xf numFmtId="165" fontId="3" fillId="2" borderId="0" pivotButton="0" quotePrefix="0" xfId="0"/>
    <xf numFmtId="166" fontId="0" fillId="0" borderId="0" applyProtection="1" pivotButton="0" quotePrefix="0" xfId="0">
      <protection locked="0" hidden="0"/>
    </xf>
    <xf numFmtId="1" fontId="3" fillId="2" borderId="0" pivotButton="0" quotePrefix="0" xfId="0"/>
    <xf numFmtId="0" fontId="0" fillId="2" borderId="0" applyAlignment="1" pivotButton="0" quotePrefix="0" xfId="0">
      <alignment horizontal="left"/>
    </xf>
    <xf numFmtId="164" fontId="3" fillId="2" borderId="0" pivotButton="0" quotePrefix="0" xfId="0"/>
    <xf numFmtId="0" fontId="0" fillId="0" borderId="0" applyAlignment="1" pivotButton="0" quotePrefix="0" xfId="0">
      <alignment vertical="center" wrapText="1"/>
    </xf>
    <xf numFmtId="166" fontId="0" fillId="0" borderId="0" applyAlignment="1" applyProtection="1" pivotButton="0" quotePrefix="0" xfId="0">
      <alignment horizontal="right"/>
      <protection locked="0" hidden="0"/>
    </xf>
    <xf numFmtId="166" fontId="0" fillId="2" borderId="0" applyAlignment="1" pivotButton="0" quotePrefix="0" xfId="0">
      <alignment horizontal="right"/>
    </xf>
    <xf numFmtId="165" fontId="0" fillId="2" borderId="0" pivotButton="0" quotePrefix="0" xfId="0"/>
    <xf numFmtId="9" fontId="0" fillId="2" borderId="0" pivotButton="0" quotePrefix="0" xfId="0"/>
    <xf numFmtId="1" fontId="0" fillId="2" borderId="0" applyAlignment="1" pivotButton="0" quotePrefix="0" xfId="0">
      <alignment horizontal="right"/>
    </xf>
    <xf numFmtId="0" fontId="0" fillId="2" borderId="1" pivotButton="0" quotePrefix="0" xfId="0"/>
    <xf numFmtId="4" fontId="0" fillId="2" borderId="0" applyAlignment="1" pivotButton="0" quotePrefix="0" xfId="0">
      <alignment horizontal="right"/>
    </xf>
    <xf numFmtId="0" fontId="3" fillId="0" borderId="0" pivotButton="0" quotePrefix="0" xfId="0"/>
    <xf numFmtId="9" fontId="0" fillId="2" borderId="0" applyAlignment="1" pivotButton="0" quotePrefix="0" xfId="0">
      <alignment horizontal="right"/>
    </xf>
    <xf numFmtId="0" fontId="1" fillId="2" borderId="1" pivotButton="0" quotePrefix="0" xfId="0"/>
    <xf numFmtId="0" fontId="0" fillId="0" borderId="0" applyAlignment="1" applyProtection="1" pivotButton="0" quotePrefix="0" xfId="0">
      <alignment horizontal="left" vertical="top"/>
      <protection locked="0" hidden="0"/>
    </xf>
    <xf numFmtId="167" fontId="0" fillId="0" borderId="0" applyAlignment="1" applyProtection="1" pivotButton="0" quotePrefix="0" xfId="0">
      <alignment horizontal="left" vertical="top"/>
      <protection locked="0" hidden="0"/>
    </xf>
    <xf numFmtId="1" fontId="0" fillId="0" borderId="0" applyAlignment="1" applyProtection="1" pivotButton="0" quotePrefix="0" xfId="0">
      <alignment horizontal="left" vertical="top"/>
      <protection locked="0" hidden="0"/>
    </xf>
    <xf numFmtId="49" fontId="0" fillId="0" borderId="0" applyAlignment="1" applyProtection="1" pivotButton="0" quotePrefix="0" xfId="0">
      <alignment horizontal="left" vertical="top"/>
      <protection locked="0" hidden="0"/>
    </xf>
  </cellXfs>
  <cellStyles count="1">
    <cellStyle name="Normal" xfId="0" builtinId="0" hidden="0"/>
  </cellStyles>
  <dxfs count="4">
    <dxf>
      <font>
        <color rgb="00C7362C"/>
      </font>
      <fill>
        <patternFill patternType="solid">
          <fgColor rgb="00FDECEA"/>
          <bgColor rgb="00FDECEA"/>
        </patternFill>
      </fill>
    </dxf>
    <dxf>
      <font>
        <color rgb="002F7D3E"/>
      </font>
    </dxf>
    <dxf>
      <fill>
        <patternFill patternType="solid">
          <fgColor rgb="00E6E8EE"/>
          <bgColor rgb="00E6E8EE"/>
        </patternFill>
      </fill>
    </dxf>
    <dxf>
      <fill>
        <patternFill patternType="solid">
          <fgColor rgb="00FFF3B0"/>
          <bgColor rgb="00FFF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doIT</author>
  </authors>
  <commentList>
    <comment ref="S1" authorId="0" shapeId="0">
      <text>
        <t>«Срок TARS» — это выдача плюс 3 часа. Так прокаты Дубая работают на практике, это не правило RTA</t>
      </text>
    </comment>
  </commentList>
</comments>
</file>

<file path=xl/comments/comment2.xml><?xml version="1.0" encoding="utf-8"?>
<comments xmlns="http://schemas.openxmlformats.org/spreadsheetml/2006/main">
  <authors>
    <author>doIT</author>
  </authors>
  <commentList>
    <comment ref="F1" authorId="0" shapeId="0">
      <text>
        <t>Номер брони, к которой относится начисление. Файл находит его по машине и времени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-it.agency/ru/uae/car-rental-excel-template/?utm_source=car-rental-excel-template-xlsx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hyperlink" Target="https://do-it.agency/ru/uae/car-rental-excel-template/?utm_source=car-rental-excel-template-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0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26" customHeight="1">
      <c r="A1" s="1" t="inlineStr">
        <is>
          <t>Шаблон для проката авто: вариант для ОАЭ</t>
        </is>
      </c>
    </row>
    <row r="2" ht="18" customHeight="1">
      <c r="A2" s="2" t="inlineStr">
        <is>
          <t>Брони, парк, начисления, залоги и сводка за месяц в одном файле</t>
        </is>
      </c>
    </row>
    <row r="4" ht="18" customHeight="1">
      <c r="A4" s="3" t="inlineStr">
        <is>
          <t>Как пользоваться</t>
        </is>
      </c>
    </row>
    <row r="5" ht="18" customHeight="1">
      <c r="A5" s="4" t="inlineStr">
        <is>
          <t>1. Откройте «Настройки»: задайте валюту, ставку налога и способ счёта дней</t>
        </is>
      </c>
    </row>
    <row r="6" ht="34" customHeight="1">
      <c r="A6" s="4" t="inlineStr">
        <is>
          <t>2. Внесите машины на лист «Парк». В «Бронях» и «Начислениях» выбирайте машину из списка, не набирайте: формулы находят аренду, только когда номер записан одинаково</t>
        </is>
      </c>
    </row>
    <row r="7" ht="34" customHeight="1">
      <c r="A7" s="4" t="inlineStr">
        <is>
          <t>3. Вносите брони на лист «Брони»: одна строка — одна бронь. Столбец «Проверка» помечает две брони одной машины на пересекающиеся даты</t>
        </is>
      </c>
    </row>
    <row r="8" ht="34" customHeight="1">
      <c r="A8" s="4" t="inlineStr">
        <is>
          <t>4. От столбца «Статус» зависят остальные листы. При передаче ключей поставьте «Выдана» и впишите в «Выдача» фактическое время. При возврате — «Возвращена» и фактическое время возврата</t>
        </is>
      </c>
    </row>
    <row r="9" ht="34" customHeight="1">
      <c r="A9" s="4" t="inlineStr">
        <is>
          <t>5. Salik, DARB, парковки и штрафы вносите на лист «Начисления». Столбец «Бронь» находит аренду по машине и времени</t>
        </is>
      </c>
    </row>
    <row r="10" ht="18" customHeight="1">
      <c r="A10" s="4" t="inlineStr">
        <is>
          <t>6. Залоги ведите на листе «Залоги». «Сводка» показывает загрузку, выручку и то, что требует внимания</t>
        </is>
      </c>
    </row>
    <row r="12" ht="18" customHeight="1">
      <c r="A12" s="3" t="inlineStr">
        <is>
          <t>Что важно знать</t>
        </is>
      </c>
    </row>
    <row r="13" ht="34" customHeight="1">
      <c r="A13" s="4" t="inlineStr">
        <is>
          <t>Белые ячейки — для ввода. Серые — формулы: они защищены, пароля нет. Чтобы изменить формулу, снимите защиту листа в своей программе</t>
        </is>
      </c>
    </row>
    <row r="14" ht="18" customHeight="1">
      <c r="A14" s="4" t="inlineStr">
        <is>
          <t>Строки с пометкой «пример» — образцы. Очистите в них белые ячейки перед началом работы</t>
        </is>
      </c>
    </row>
    <row r="15" ht="34" customHeight="1">
      <c r="A15" s="4" t="inlineStr">
        <is>
          <t>Формулы работают в строках 2–500 на листах «Брони» и «Залоги», 2–1000 на листе «Начисления» и 2–51 на листе «Парк»</t>
        </is>
      </c>
    </row>
    <row r="16" ht="18" customHeight="1">
      <c r="A16" s="4" t="inlineStr">
        <is>
          <t>Выдача, возврат и время начисления — дата и время в одной ячейке, например 2026-10-12 14:30</t>
        </is>
      </c>
    </row>
    <row r="17" ht="34" customHeight="1">
      <c r="A17" s="4" t="inlineStr">
        <is>
          <t>Для аренды, которая ещё идёт, «сейчас» — это момент, когда файл пересчитан в последний раз. Файл пересчитывается при открытии</t>
        </is>
      </c>
    </row>
    <row r="18" ht="34" customHeight="1">
      <c r="A18" s="4" t="inlineStr">
        <is>
          <t>Две строки аренды одной машины с одинаковым временем выдачи ломают привязку начислений. Столбец «Дубль» помечает обе: уберите одну</t>
        </is>
      </c>
    </row>
    <row r="19" ht="34" customHeight="1">
      <c r="A19" s="4" t="inlineStr">
        <is>
          <t>Возврат в 10:00 и выдача той же машины в 10:00 — это «Пересечение»: границы считаются включительно. Поставьте первой аренде «Возвращена», и пометка пропадёт</t>
        </is>
      </c>
    </row>
    <row r="20" ht="34" customHeight="1">
      <c r="A20" s="4" t="inlineStr">
        <is>
          <t>У каждой брони должен быть номер в столбце «№». Без него начисления этой аренды получают «Вне аренды». Бронь без номера подсвечена красным</t>
        </is>
      </c>
    </row>
    <row r="21" ht="50" customHeight="1">
      <c r="A21" s="4" t="inlineStr">
        <is>
          <t>Дата, набранная или вставленная текстом, для формул не дата. Эта строка на листе «Брони» показывает «Проверьте даты», а столбец «Бронь» на листе «Начисления» — «Проверьте даты» во всех строках, пока дату не наберут заново</t>
        </is>
      </c>
    </row>
    <row r="22" ht="34" customHeight="1">
      <c r="A22" s="4" t="inlineStr">
        <is>
          <t>Пока лист защищён, его можно фильтровать по строке заголовков, но нельзя сортировать, вставлять и удалять строки. Чтобы убрать ошибочную строку, очистите её белые ячейки</t>
        </is>
      </c>
    </row>
    <row r="23" ht="18" customHeight="1">
      <c r="A23" s="4" t="inlineStr">
        <is>
          <t>Суммы Salik вносите так, как они стоят в выписке оператора. Налог второй раз не добавляйте</t>
        </is>
      </c>
    </row>
    <row r="24" ht="18" customHeight="1">
      <c r="A24" s="4" t="inlineStr">
        <is>
          <t>«Срок TARS» — это выдача плюс 3 часа. Так прокаты Дубая работают на практике, это не правило RTA</t>
        </is>
      </c>
    </row>
    <row r="25" ht="18" customHeight="1">
      <c r="A25" s="4" t="inlineStr">
        <is>
          <t>Не зарегистрированы по НДС? Сотрите ставку в «Настройках»: налог не начислится</t>
        </is>
      </c>
    </row>
    <row r="27" ht="18" customHeight="1">
      <c r="A27" s="5" t="inlineStr">
        <is>
          <t>Гид по шаблону: каждый лист и две главные формулы</t>
        </is>
      </c>
    </row>
    <row r="28" ht="18" customHeight="1">
      <c r="A28" s="6" t="inlineStr">
        <is>
          <t>Формулы проверены пересчётом в LibreOffice 24.2</t>
        </is>
      </c>
    </row>
    <row r="29" ht="18" customHeight="1">
      <c r="A29" s="6" t="inlineStr">
        <is>
          <t>Сделано в doIT: мы строим системы для прокатных компаний</t>
        </is>
      </c>
    </row>
    <row r="30" ht="34" customHeight="1">
      <c r="A30" s="6" t="inlineStr">
        <is>
          <t>doIT не связан с Microsoft, Google, RTA, Salik, DARB и FTA. Это не налоговая и не юридическая консультация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hyperlinks>
    <hyperlink xmlns:r="http://schemas.openxmlformats.org/officeDocument/2006/relationships" ref="A27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8" customWidth="1" min="3" max="3"/>
    <col width="17" customWidth="1" min="4" max="4"/>
    <col width="17" customWidth="1" min="5" max="5"/>
    <col width="13" customWidth="1" min="6" max="6"/>
    <col width="16" customWidth="1" min="7" max="7"/>
    <col width="11" customWidth="1" min="8" max="8"/>
    <col width="7" customWidth="1" min="9" max="9"/>
    <col width="12" customWidth="1" min="10" max="10"/>
    <col width="13" customWidth="1" min="11" max="11"/>
    <col width="11" customWidth="1" min="12" max="12"/>
    <col width="12" customWidth="1" min="13" max="13"/>
    <col width="12" customWidth="1" min="14" max="14"/>
    <col width="12" customWidth="1" min="15" max="15"/>
    <col width="12" customWidth="1" min="16" max="16"/>
    <col width="22" customWidth="1" min="17" max="17"/>
    <col width="18" customWidth="1" min="18" max="18"/>
    <col width="17" customWidth="1" min="19" max="19"/>
    <col width="10" customWidth="1" min="20" max="20"/>
    <col width="16" customWidth="1" min="21" max="21"/>
  </cols>
  <sheetData>
    <row r="1" ht="48" customHeight="1">
      <c r="A1" s="7" t="inlineStr">
        <is>
          <t>№</t>
        </is>
      </c>
      <c r="B1" s="7" t="inlineStr">
        <is>
          <t>Машина</t>
        </is>
      </c>
      <c r="C1" s="7" t="inlineStr">
        <is>
          <t>Клиент</t>
        </is>
      </c>
      <c r="D1" s="7" t="inlineStr">
        <is>
          <t>Выдача</t>
        </is>
      </c>
      <c r="E1" s="7" t="inlineStr">
        <is>
          <t>Возврат</t>
        </is>
      </c>
      <c r="F1" s="7" t="inlineStr">
        <is>
          <t>Статус</t>
        </is>
      </c>
      <c r="G1" s="7" t="inlineStr">
        <is>
          <t>Проверка</t>
        </is>
      </c>
      <c r="H1" s="7" t="inlineStr">
        <is>
          <t>Дубль</t>
        </is>
      </c>
      <c r="I1" s="7" t="inlineStr">
        <is>
          <t>Дни</t>
        </is>
      </c>
      <c r="J1" s="7" t="inlineStr">
        <is>
          <t>Цена за день</t>
        </is>
      </c>
      <c r="K1" s="7" t="inlineStr">
        <is>
          <t>Сумма аренды</t>
        </is>
      </c>
      <c r="L1" s="7">
        <f>IF(Настройки!$B$4="","Налог",Настройки!$B$4)</f>
        <v/>
      </c>
      <c r="M1" s="7" t="inlineStr">
        <is>
          <t>Начисления</t>
        </is>
      </c>
      <c r="N1" s="7" t="inlineStr">
        <is>
          <t>Итого</t>
        </is>
      </c>
      <c r="O1" s="7" t="inlineStr">
        <is>
          <t>Оплачено</t>
        </is>
      </c>
      <c r="P1" s="7" t="inlineStr">
        <is>
          <t>Остаток</t>
        </is>
      </c>
      <c r="Q1" s="7" t="inlineStr">
        <is>
          <t>№ договора (Agreement Number в TARS)</t>
        </is>
      </c>
      <c r="R1" s="7" t="inlineStr">
        <is>
          <t>Заметки</t>
        </is>
      </c>
      <c r="S1" s="7" t="inlineStr">
        <is>
          <t>Срок TARS</t>
        </is>
      </c>
      <c r="T1" s="7" t="inlineStr">
        <is>
          <t>В TARS</t>
        </is>
      </c>
      <c r="U1" s="8" t="inlineStr">
        <is>
          <t>Дней в месяце сводки (не править)</t>
        </is>
      </c>
    </row>
    <row r="2">
      <c r="A2" s="9" t="n">
        <v>1001</v>
      </c>
      <c r="B2" s="10" t="inlineStr">
        <is>
          <t>CC 41077</t>
        </is>
      </c>
      <c r="C2" s="10" t="inlineStr">
        <is>
          <t>Мария С.</t>
        </is>
      </c>
      <c r="D2" s="11">
        <f>TODAY()-8+TIME(10,0,0)</f>
        <v/>
      </c>
      <c r="E2" s="11">
        <f>TODAY()-4+TIME(18,0,0)</f>
        <v/>
      </c>
      <c r="F2" s="10" t="inlineStr">
        <is>
          <t>Возвращена</t>
        </is>
      </c>
      <c r="G2" s="12">
        <f>IF(B2="","",IF(OR(COUNT(D2:E2)&lt;2,E2&lt;D2),"Проверьте даты",IF(OR(F2="Отменена",F2="Возвращена"),"",IF(SUMPRODUCT(($B$2:$B$500=B2)*($D$2:$D$500&lt;=E2)*($E$2:$E$500&gt;=D2)*($F$2:$F$500&lt;&gt;"Отменена")*($F$2:$F$500&lt;&gt;"Возвращена"))&gt;1,"Пересечение","ОК"))))</f>
        <v/>
      </c>
      <c r="H2" s="12">
        <f>IF(OR(B2="",D2=""),"",IF(AND(OR(F2="Выдана",F2="Возвращена"),SUMPRODUCT(($B$2:$B$500=B2)*($D$2:$D$500=D2)*(($F$2:$F$500="Выдана")+($F$2:$F$500="Возвращена")))&gt;1),"Дубль",""))</f>
        <v/>
      </c>
      <c r="I2" s="13">
        <f>IF(OR(B2="",COUNT(D2:E2)&lt;2,E2&lt;D2),"",IF(Настройки!$B$6=Настройки!$M$3,INT(E2)-INT(D2)+1,ROUNDUP(ROUND((E2-D2)*24,2)/24,0)))</f>
        <v/>
      </c>
      <c r="J2" s="14" t="n">
        <v>100</v>
      </c>
      <c r="K2" s="15">
        <f>IF(OR(I2="",J2=""),"",IF(F2="Отменена",0,ROUND(I2*J2,2)))</f>
        <v/>
      </c>
      <c r="L2" s="15">
        <f>IF(K2="","",ROUND(K2*Настройки!$B$5,2))</f>
        <v/>
      </c>
      <c r="M2" s="15">
        <f>IF(A2="","",SUMIFS(Начисления!$M$2:$M$1000,Начисления!$F$2:$F$1000,A2))</f>
        <v/>
      </c>
      <c r="N2" s="15">
        <f>IF(A2="","",SUM(K2:M2))</f>
        <v/>
      </c>
      <c r="O2" s="14" t="n">
        <v>500</v>
      </c>
      <c r="P2" s="15">
        <f>IF(A2="","",N2-O2)</f>
        <v/>
      </c>
      <c r="Q2" s="10" t="inlineStr">
        <is>
          <t>D-1001</t>
        </is>
      </c>
      <c r="R2" s="10" t="inlineStr">
        <is>
          <t>пример</t>
        </is>
      </c>
      <c r="S2" s="16">
        <f>IF(ISNUMBER(D2),D2+TIME(3,0,0),"")</f>
        <v/>
      </c>
      <c r="T2" s="10" t="inlineStr">
        <is>
          <t>Да</t>
        </is>
      </c>
      <c r="U2" s="17">
        <f>IF(OR(B2="",COUNT(D2:E2)&lt;2,E2&lt;D2,F2="Отменена"),0,MAX(0,MIN(E2,Сводка!$B$4)-MAX(D2,Сводка!$B$2)))</f>
        <v/>
      </c>
    </row>
    <row r="3">
      <c r="A3" s="9" t="n">
        <v>1002</v>
      </c>
      <c r="B3" s="10" t="inlineStr">
        <is>
          <t>BB 69186</t>
        </is>
      </c>
      <c r="C3" s="10" t="inlineStr">
        <is>
          <t>Дмитрий К.</t>
        </is>
      </c>
      <c r="D3" s="11">
        <f>TODAY()-2+TIME(10,0,0)</f>
        <v/>
      </c>
      <c r="E3" s="11">
        <f>TODAY()+1+TIME(18,0,0)</f>
        <v/>
      </c>
      <c r="F3" s="10" t="inlineStr">
        <is>
          <t>Выдана</t>
        </is>
      </c>
      <c r="G3" s="12">
        <f>IF(B3="","",IF(OR(COUNT(D3:E3)&lt;2,E3&lt;D3),"Проверьте даты",IF(OR(F3="Отменена",F3="Возвращена"),"",IF(SUMPRODUCT(($B$2:$B$500=B3)*($D$2:$D$500&lt;=E3)*($E$2:$E$500&gt;=D3)*($F$2:$F$500&lt;&gt;"Отменена")*($F$2:$F$500&lt;&gt;"Возвращена"))&gt;1,"Пересечение","ОК"))))</f>
        <v/>
      </c>
      <c r="H3" s="12">
        <f>IF(OR(B3="",D3=""),"",IF(AND(OR(F3="Выдана",F3="Возвращена"),SUMPRODUCT(($B$2:$B$500=B3)*($D$2:$D$500=D3)*(($F$2:$F$500="Выдана")+($F$2:$F$500="Возвращена")))&gt;1),"Дубль",""))</f>
        <v/>
      </c>
      <c r="I3" s="13">
        <f>IF(OR(B3="",COUNT(D3:E3)&lt;2,E3&lt;D3),"",IF(Настройки!$B$6=Настройки!$M$3,INT(E3)-INT(D3)+1,ROUNDUP(ROUND((E3-D3)*24,2)/24,0)))</f>
        <v/>
      </c>
      <c r="J3" s="14" t="n">
        <v>120</v>
      </c>
      <c r="K3" s="15">
        <f>IF(OR(I3="",J3=""),"",IF(F3="Отменена",0,ROUND(I3*J3,2)))</f>
        <v/>
      </c>
      <c r="L3" s="15">
        <f>IF(K3="","",ROUND(K3*Настройки!$B$5,2))</f>
        <v/>
      </c>
      <c r="M3" s="15">
        <f>IF(A3="","",SUMIFS(Начисления!$M$2:$M$1000,Начисления!$F$2:$F$1000,A3))</f>
        <v/>
      </c>
      <c r="N3" s="15">
        <f>IF(A3="","",SUM(K3:M3))</f>
        <v/>
      </c>
      <c r="O3" s="14" t="n">
        <v>480</v>
      </c>
      <c r="P3" s="15">
        <f>IF(A3="","",N3-O3)</f>
        <v/>
      </c>
      <c r="Q3" s="10" t="inlineStr">
        <is>
          <t>D-1002</t>
        </is>
      </c>
      <c r="R3" s="10" t="inlineStr">
        <is>
          <t>пример</t>
        </is>
      </c>
      <c r="S3" s="16">
        <f>IF(ISNUMBER(D3),D3+TIME(3,0,0),"")</f>
        <v/>
      </c>
      <c r="T3" s="10" t="inlineStr">
        <is>
          <t>Да</t>
        </is>
      </c>
      <c r="U3" s="17">
        <f>IF(OR(B3="",COUNT(D3:E3)&lt;2,E3&lt;D3,F3="Отменена"),0,MAX(0,MIN(E3,Сводка!$B$4)-MAX(D3,Сводка!$B$2)))</f>
        <v/>
      </c>
    </row>
    <row r="4">
      <c r="A4" s="9" t="n">
        <v>1003</v>
      </c>
      <c r="B4" s="10" t="inlineStr">
        <is>
          <t>CC 41077</t>
        </is>
      </c>
      <c r="C4" s="10" t="inlineStr">
        <is>
          <t>Олег Н.</t>
        </is>
      </c>
      <c r="D4" s="11">
        <f>TODAY()+TIME(10,0,0)</f>
        <v/>
      </c>
      <c r="E4" s="11">
        <f>TODAY()+3+TIME(18,0,0)</f>
        <v/>
      </c>
      <c r="F4" s="10" t="inlineStr">
        <is>
          <t>Бронь</t>
        </is>
      </c>
      <c r="G4" s="12">
        <f>IF(B4="","",IF(OR(COUNT(D4:E4)&lt;2,E4&lt;D4),"Проверьте даты",IF(OR(F4="Отменена",F4="Возвращена"),"",IF(SUMPRODUCT(($B$2:$B$500=B4)*($D$2:$D$500&lt;=E4)*($E$2:$E$500&gt;=D4)*($F$2:$F$500&lt;&gt;"Отменена")*($F$2:$F$500&lt;&gt;"Возвращена"))&gt;1,"Пересечение","ОК"))))</f>
        <v/>
      </c>
      <c r="H4" s="12">
        <f>IF(OR(B4="",D4=""),"",IF(AND(OR(F4="Выдана",F4="Возвращена"),SUMPRODUCT(($B$2:$B$500=B4)*($D$2:$D$500=D4)*(($F$2:$F$500="Выдана")+($F$2:$F$500="Возвращена")))&gt;1),"Дубль",""))</f>
        <v/>
      </c>
      <c r="I4" s="13">
        <f>IF(OR(B4="",COUNT(D4:E4)&lt;2,E4&lt;D4),"",IF(Настройки!$B$6=Настройки!$M$3,INT(E4)-INT(D4)+1,ROUNDUP(ROUND((E4-D4)*24,2)/24,0)))</f>
        <v/>
      </c>
      <c r="J4" s="14" t="n">
        <v>100</v>
      </c>
      <c r="K4" s="15">
        <f>IF(OR(I4="",J4=""),"",IF(F4="Отменена",0,ROUND(I4*J4,2)))</f>
        <v/>
      </c>
      <c r="L4" s="15">
        <f>IF(K4="","",ROUND(K4*Настройки!$B$5,2))</f>
        <v/>
      </c>
      <c r="M4" s="15">
        <f>IF(A4="","",SUMIFS(Начисления!$M$2:$M$1000,Начисления!$F$2:$F$1000,A4))</f>
        <v/>
      </c>
      <c r="N4" s="15">
        <f>IF(A4="","",SUM(K4:M4))</f>
        <v/>
      </c>
      <c r="O4" s="14" t="n">
        <v>200</v>
      </c>
      <c r="P4" s="15">
        <f>IF(A4="","",N4-O4)</f>
        <v/>
      </c>
      <c r="Q4" s="10" t="inlineStr">
        <is>
          <t>D-1003</t>
        </is>
      </c>
      <c r="R4" s="10" t="inlineStr">
        <is>
          <t>пример</t>
        </is>
      </c>
      <c r="S4" s="16">
        <f>IF(ISNUMBER(D4),D4+TIME(3,0,0),"")</f>
        <v/>
      </c>
      <c r="T4" s="10" t="n"/>
      <c r="U4" s="17">
        <f>IF(OR(B4="",COUNT(D4:E4)&lt;2,E4&lt;D4,F4="Отменена"),0,MAX(0,MIN(E4,Сводка!$B$4)-MAX(D4,Сводка!$B$2)))</f>
        <v/>
      </c>
    </row>
    <row r="5">
      <c r="A5" s="9" t="n">
        <v>1004</v>
      </c>
      <c r="B5" s="10" t="inlineStr">
        <is>
          <t>DD 52340</t>
        </is>
      </c>
      <c r="C5" s="10" t="inlineStr">
        <is>
          <t>Павел Л.</t>
        </is>
      </c>
      <c r="D5" s="11">
        <f>TODAY()+1+TIME(10,0,0)</f>
        <v/>
      </c>
      <c r="E5" s="11">
        <f>TODAY()+5+TIME(18,0,0)</f>
        <v/>
      </c>
      <c r="F5" s="10" t="inlineStr">
        <is>
          <t>Бронь</t>
        </is>
      </c>
      <c r="G5" s="12">
        <f>IF(B5="","",IF(OR(COUNT(D5:E5)&lt;2,E5&lt;D5),"Проверьте даты",IF(OR(F5="Отменена",F5="Возвращена"),"",IF(SUMPRODUCT(($B$2:$B$500=B5)*($D$2:$D$500&lt;=E5)*($E$2:$E$500&gt;=D5)*($F$2:$F$500&lt;&gt;"Отменена")*($F$2:$F$500&lt;&gt;"Возвращена"))&gt;1,"Пересечение","ОК"))))</f>
        <v/>
      </c>
      <c r="H5" s="12">
        <f>IF(OR(B5="",D5=""),"",IF(AND(OR(F5="Выдана",F5="Возвращена"),SUMPRODUCT(($B$2:$B$500=B5)*($D$2:$D$500=D5)*(($F$2:$F$500="Выдана")+($F$2:$F$500="Возвращена")))&gt;1),"Дубль",""))</f>
        <v/>
      </c>
      <c r="I5" s="13">
        <f>IF(OR(B5="",COUNT(D5:E5)&lt;2,E5&lt;D5),"",IF(Настройки!$B$6=Настройки!$M$3,INT(E5)-INT(D5)+1,ROUNDUP(ROUND((E5-D5)*24,2)/24,0)))</f>
        <v/>
      </c>
      <c r="J5" s="14" t="n">
        <v>150</v>
      </c>
      <c r="K5" s="15">
        <f>IF(OR(I5="",J5=""),"",IF(F5="Отменена",0,ROUND(I5*J5,2)))</f>
        <v/>
      </c>
      <c r="L5" s="15">
        <f>IF(K5="","",ROUND(K5*Настройки!$B$5,2))</f>
        <v/>
      </c>
      <c r="M5" s="15">
        <f>IF(A5="","",SUMIFS(Начисления!$M$2:$M$1000,Начисления!$F$2:$F$1000,A5))</f>
        <v/>
      </c>
      <c r="N5" s="15">
        <f>IF(A5="","",SUM(K5:M5))</f>
        <v/>
      </c>
      <c r="O5" s="14" t="n"/>
      <c r="P5" s="15">
        <f>IF(A5="","",N5-O5)</f>
        <v/>
      </c>
      <c r="Q5" s="10" t="inlineStr">
        <is>
          <t>D-1004</t>
        </is>
      </c>
      <c r="R5" s="10" t="inlineStr">
        <is>
          <t>пример</t>
        </is>
      </c>
      <c r="S5" s="16">
        <f>IF(ISNUMBER(D5),D5+TIME(3,0,0),"")</f>
        <v/>
      </c>
      <c r="T5" s="10" t="n"/>
      <c r="U5" s="17">
        <f>IF(OR(B5="",COUNT(D5:E5)&lt;2,E5&lt;D5,F5="Отменена"),0,MAX(0,MIN(E5,Сводка!$B$4)-MAX(D5,Сводка!$B$2)))</f>
        <v/>
      </c>
    </row>
    <row r="6">
      <c r="A6" s="9" t="n">
        <v>1005</v>
      </c>
      <c r="B6" s="10" t="inlineStr">
        <is>
          <t>DD 52340</t>
        </is>
      </c>
      <c r="C6" s="10" t="inlineStr">
        <is>
          <t>Нина Р.</t>
        </is>
      </c>
      <c r="D6" s="11">
        <f>TODAY()+5+TIME(10,0,0)</f>
        <v/>
      </c>
      <c r="E6" s="11">
        <f>TODAY()+8+TIME(18,0,0)</f>
        <v/>
      </c>
      <c r="F6" s="10" t="inlineStr">
        <is>
          <t>Бронь</t>
        </is>
      </c>
      <c r="G6" s="12">
        <f>IF(B6="","",IF(OR(COUNT(D6:E6)&lt;2,E6&lt;D6),"Проверьте даты",IF(OR(F6="Отменена",F6="Возвращена"),"",IF(SUMPRODUCT(($B$2:$B$500=B6)*($D$2:$D$500&lt;=E6)*($E$2:$E$500&gt;=D6)*($F$2:$F$500&lt;&gt;"Отменена")*($F$2:$F$500&lt;&gt;"Возвращена"))&gt;1,"Пересечение","ОК"))))</f>
        <v/>
      </c>
      <c r="H6" s="12">
        <f>IF(OR(B6="",D6=""),"",IF(AND(OR(F6="Выдана",F6="Возвращена"),SUMPRODUCT(($B$2:$B$500=B6)*($D$2:$D$500=D6)*(($F$2:$F$500="Выдана")+($F$2:$F$500="Возвращена")))&gt;1),"Дубль",""))</f>
        <v/>
      </c>
      <c r="I6" s="13">
        <f>IF(OR(B6="",COUNT(D6:E6)&lt;2,E6&lt;D6),"",IF(Настройки!$B$6=Настройки!$M$3,INT(E6)-INT(D6)+1,ROUNDUP(ROUND((E6-D6)*24,2)/24,0)))</f>
        <v/>
      </c>
      <c r="J6" s="14" t="n">
        <v>150</v>
      </c>
      <c r="K6" s="15">
        <f>IF(OR(I6="",J6=""),"",IF(F6="Отменена",0,ROUND(I6*J6,2)))</f>
        <v/>
      </c>
      <c r="L6" s="15">
        <f>IF(K6="","",ROUND(K6*Настройки!$B$5,2))</f>
        <v/>
      </c>
      <c r="M6" s="15">
        <f>IF(A6="","",SUMIFS(Начисления!$M$2:$M$1000,Начисления!$F$2:$F$1000,A6))</f>
        <v/>
      </c>
      <c r="N6" s="15">
        <f>IF(A6="","",SUM(K6:M6))</f>
        <v/>
      </c>
      <c r="O6" s="14" t="n"/>
      <c r="P6" s="15">
        <f>IF(A6="","",N6-O6)</f>
        <v/>
      </c>
      <c r="Q6" s="10" t="inlineStr">
        <is>
          <t>D-1005</t>
        </is>
      </c>
      <c r="R6" s="10" t="inlineStr">
        <is>
          <t>пример</t>
        </is>
      </c>
      <c r="S6" s="16">
        <f>IF(ISNUMBER(D6),D6+TIME(3,0,0),"")</f>
        <v/>
      </c>
      <c r="T6" s="10" t="n"/>
      <c r="U6" s="17">
        <f>IF(OR(B6="",COUNT(D6:E6)&lt;2,E6&lt;D6,F6="Отменена"),0,MAX(0,MIN(E6,Сводка!$B$4)-MAX(D6,Сводка!$B$2)))</f>
        <v/>
      </c>
    </row>
    <row r="7">
      <c r="A7" s="9" t="n">
        <v>1006</v>
      </c>
      <c r="B7" s="10" t="inlineStr">
        <is>
          <t>BB 69186</t>
        </is>
      </c>
      <c r="C7" s="10" t="inlineStr">
        <is>
          <t>Елена В.</t>
        </is>
      </c>
      <c r="D7" s="11">
        <f>TODAY()+2+TIME(10,0,0)</f>
        <v/>
      </c>
      <c r="E7" s="11">
        <f>TODAY()+6+TIME(18,0,0)</f>
        <v/>
      </c>
      <c r="F7" s="10" t="inlineStr">
        <is>
          <t>Бронь</t>
        </is>
      </c>
      <c r="G7" s="12">
        <f>IF(B7="","",IF(OR(COUNT(D7:E7)&lt;2,E7&lt;D7),"Проверьте даты",IF(OR(F7="Отменена",F7="Возвращена"),"",IF(SUMPRODUCT(($B$2:$B$500=B7)*($D$2:$D$500&lt;=E7)*($E$2:$E$500&gt;=D7)*($F$2:$F$500&lt;&gt;"Отменена")*($F$2:$F$500&lt;&gt;"Возвращена"))&gt;1,"Пересечение","ОК"))))</f>
        <v/>
      </c>
      <c r="H7" s="12">
        <f>IF(OR(B7="",D7=""),"",IF(AND(OR(F7="Выдана",F7="Возвращена"),SUMPRODUCT(($B$2:$B$500=B7)*($D$2:$D$500=D7)*(($F$2:$F$500="Выдана")+($F$2:$F$500="Возвращена")))&gt;1),"Дубль",""))</f>
        <v/>
      </c>
      <c r="I7" s="13">
        <f>IF(OR(B7="",COUNT(D7:E7)&lt;2,E7&lt;D7),"",IF(Настройки!$B$6=Настройки!$M$3,INT(E7)-INT(D7)+1,ROUNDUP(ROUND((E7-D7)*24,2)/24,0)))</f>
        <v/>
      </c>
      <c r="J7" s="14" t="n">
        <v>120</v>
      </c>
      <c r="K7" s="15">
        <f>IF(OR(I7="",J7=""),"",IF(F7="Отменена",0,ROUND(I7*J7,2)))</f>
        <v/>
      </c>
      <c r="L7" s="15">
        <f>IF(K7="","",ROUND(K7*Настройки!$B$5,2))</f>
        <v/>
      </c>
      <c r="M7" s="15">
        <f>IF(A7="","",SUMIFS(Начисления!$M$2:$M$1000,Начисления!$F$2:$F$1000,A7))</f>
        <v/>
      </c>
      <c r="N7" s="15">
        <f>IF(A7="","",SUM(K7:M7))</f>
        <v/>
      </c>
      <c r="O7" s="14" t="n"/>
      <c r="P7" s="15">
        <f>IF(A7="","",N7-O7)</f>
        <v/>
      </c>
      <c r="Q7" s="10" t="inlineStr">
        <is>
          <t>D-1006</t>
        </is>
      </c>
      <c r="R7" s="10" t="inlineStr">
        <is>
          <t>пример</t>
        </is>
      </c>
      <c r="S7" s="16">
        <f>IF(ISNUMBER(D7),D7+TIME(3,0,0),"")</f>
        <v/>
      </c>
      <c r="T7" s="10" t="n"/>
      <c r="U7" s="17">
        <f>IF(OR(B7="",COUNT(D7:E7)&lt;2,E7&lt;D7,F7="Отменена"),0,MAX(0,MIN(E7,Сводка!$B$4)-MAX(D7,Сводка!$B$2)))</f>
        <v/>
      </c>
    </row>
    <row r="8">
      <c r="A8" s="9" t="n"/>
      <c r="B8" s="10" t="n"/>
      <c r="C8" s="10" t="n"/>
      <c r="D8" s="11" t="n"/>
      <c r="E8" s="11" t="n"/>
      <c r="F8" s="10" t="n"/>
      <c r="G8" s="12">
        <f>IF(B8="","",IF(OR(COUNT(D8:E8)&lt;2,E8&lt;D8),"Проверьте даты",IF(OR(F8="Отменена",F8="Возвращена"),"",IF(SUMPRODUCT(($B$2:$B$500=B8)*($D$2:$D$500&lt;=E8)*($E$2:$E$500&gt;=D8)*($F$2:$F$500&lt;&gt;"Отменена")*($F$2:$F$500&lt;&gt;"Возвращена"))&gt;1,"Пересечение","ОК"))))</f>
        <v/>
      </c>
      <c r="H8" s="12">
        <f>IF(OR(B8="",D8=""),"",IF(AND(OR(F8="Выдана",F8="Возвращена"),SUMPRODUCT(($B$2:$B$500=B8)*($D$2:$D$500=D8)*(($F$2:$F$500="Выдана")+($F$2:$F$500="Возвращена")))&gt;1),"Дубль",""))</f>
        <v/>
      </c>
      <c r="I8" s="13">
        <f>IF(OR(B8="",COUNT(D8:E8)&lt;2,E8&lt;D8),"",IF(Настройки!$B$6=Настройки!$M$3,INT(E8)-INT(D8)+1,ROUNDUP(ROUND((E8-D8)*24,2)/24,0)))</f>
        <v/>
      </c>
      <c r="J8" s="14" t="n"/>
      <c r="K8" s="15">
        <f>IF(OR(I8="",J8=""),"",IF(F8="Отменена",0,ROUND(I8*J8,2)))</f>
        <v/>
      </c>
      <c r="L8" s="15">
        <f>IF(K8="","",ROUND(K8*Настройки!$B$5,2))</f>
        <v/>
      </c>
      <c r="M8" s="15">
        <f>IF(A8="","",SUMIFS(Начисления!$M$2:$M$1000,Начисления!$F$2:$F$1000,A8))</f>
        <v/>
      </c>
      <c r="N8" s="15">
        <f>IF(A8="","",SUM(K8:M8))</f>
        <v/>
      </c>
      <c r="O8" s="14" t="n"/>
      <c r="P8" s="15">
        <f>IF(A8="","",N8-O8)</f>
        <v/>
      </c>
      <c r="Q8" s="10" t="n"/>
      <c r="R8" s="10" t="n"/>
      <c r="S8" s="16">
        <f>IF(ISNUMBER(D8),D8+TIME(3,0,0),"")</f>
        <v/>
      </c>
      <c r="T8" s="10" t="n"/>
      <c r="U8" s="17">
        <f>IF(OR(B8="",COUNT(D8:E8)&lt;2,E8&lt;D8,F8="Отменена"),0,MAX(0,MIN(E8,Сводка!$B$4)-MAX(D8,Сводка!$B$2)))</f>
        <v/>
      </c>
    </row>
    <row r="9">
      <c r="A9" s="9" t="n"/>
      <c r="B9" s="10" t="n"/>
      <c r="C9" s="10" t="n"/>
      <c r="D9" s="11" t="n"/>
      <c r="E9" s="11" t="n"/>
      <c r="F9" s="10" t="n"/>
      <c r="G9" s="12">
        <f>IF(B9="","",IF(OR(COUNT(D9:E9)&lt;2,E9&lt;D9),"Проверьте даты",IF(OR(F9="Отменена",F9="Возвращена"),"",IF(SUMPRODUCT(($B$2:$B$500=B9)*($D$2:$D$500&lt;=E9)*($E$2:$E$500&gt;=D9)*($F$2:$F$500&lt;&gt;"Отменена")*($F$2:$F$500&lt;&gt;"Возвращена"))&gt;1,"Пересечение","ОК"))))</f>
        <v/>
      </c>
      <c r="H9" s="12">
        <f>IF(OR(B9="",D9=""),"",IF(AND(OR(F9="Выдана",F9="Возвращена"),SUMPRODUCT(($B$2:$B$500=B9)*($D$2:$D$500=D9)*(($F$2:$F$500="Выдана")+($F$2:$F$500="Возвращена")))&gt;1),"Дубль",""))</f>
        <v/>
      </c>
      <c r="I9" s="13">
        <f>IF(OR(B9="",COUNT(D9:E9)&lt;2,E9&lt;D9),"",IF(Настройки!$B$6=Настройки!$M$3,INT(E9)-INT(D9)+1,ROUNDUP(ROUND((E9-D9)*24,2)/24,0)))</f>
        <v/>
      </c>
      <c r="J9" s="14" t="n"/>
      <c r="K9" s="15">
        <f>IF(OR(I9="",J9=""),"",IF(F9="Отменена",0,ROUND(I9*J9,2)))</f>
        <v/>
      </c>
      <c r="L9" s="15">
        <f>IF(K9="","",ROUND(K9*Настройки!$B$5,2))</f>
        <v/>
      </c>
      <c r="M9" s="15">
        <f>IF(A9="","",SUMIFS(Начисления!$M$2:$M$1000,Начисления!$F$2:$F$1000,A9))</f>
        <v/>
      </c>
      <c r="N9" s="15">
        <f>IF(A9="","",SUM(K9:M9))</f>
        <v/>
      </c>
      <c r="O9" s="14" t="n"/>
      <c r="P9" s="15">
        <f>IF(A9="","",N9-O9)</f>
        <v/>
      </c>
      <c r="Q9" s="10" t="n"/>
      <c r="R9" s="10" t="n"/>
      <c r="S9" s="16">
        <f>IF(ISNUMBER(D9),D9+TIME(3,0,0),"")</f>
        <v/>
      </c>
      <c r="T9" s="10" t="n"/>
      <c r="U9" s="17">
        <f>IF(OR(B9="",COUNT(D9:E9)&lt;2,E9&lt;D9,F9="Отменена"),0,MAX(0,MIN(E9,Сводка!$B$4)-MAX(D9,Сводка!$B$2)))</f>
        <v/>
      </c>
    </row>
    <row r="10">
      <c r="A10" s="9" t="n"/>
      <c r="B10" s="10" t="n"/>
      <c r="C10" s="10" t="n"/>
      <c r="D10" s="11" t="n"/>
      <c r="E10" s="11" t="n"/>
      <c r="F10" s="10" t="n"/>
      <c r="G10" s="12">
        <f>IF(B10="","",IF(OR(COUNT(D10:E10)&lt;2,E10&lt;D10),"Проверьте даты",IF(OR(F10="Отменена",F10="Возвращена"),"",IF(SUMPRODUCT(($B$2:$B$500=B10)*($D$2:$D$500&lt;=E10)*($E$2:$E$500&gt;=D10)*($F$2:$F$500&lt;&gt;"Отменена")*($F$2:$F$500&lt;&gt;"Возвращена"))&gt;1,"Пересечение","ОК"))))</f>
        <v/>
      </c>
      <c r="H10" s="12">
        <f>IF(OR(B10="",D10=""),"",IF(AND(OR(F10="Выдана",F10="Возвращена"),SUMPRODUCT(($B$2:$B$500=B10)*($D$2:$D$500=D10)*(($F$2:$F$500="Выдана")+($F$2:$F$500="Возвращена")))&gt;1),"Дубль",""))</f>
        <v/>
      </c>
      <c r="I10" s="13">
        <f>IF(OR(B10="",COUNT(D10:E10)&lt;2,E10&lt;D10),"",IF(Настройки!$B$6=Настройки!$M$3,INT(E10)-INT(D10)+1,ROUNDUP(ROUND((E10-D10)*24,2)/24,0)))</f>
        <v/>
      </c>
      <c r="J10" s="14" t="n"/>
      <c r="K10" s="15">
        <f>IF(OR(I10="",J10=""),"",IF(F10="Отменена",0,ROUND(I10*J10,2)))</f>
        <v/>
      </c>
      <c r="L10" s="15">
        <f>IF(K10="","",ROUND(K10*Настройки!$B$5,2))</f>
        <v/>
      </c>
      <c r="M10" s="15">
        <f>IF(A10="","",SUMIFS(Начисления!$M$2:$M$1000,Начисления!$F$2:$F$1000,A10))</f>
        <v/>
      </c>
      <c r="N10" s="15">
        <f>IF(A10="","",SUM(K10:M10))</f>
        <v/>
      </c>
      <c r="O10" s="14" t="n"/>
      <c r="P10" s="15">
        <f>IF(A10="","",N10-O10)</f>
        <v/>
      </c>
      <c r="Q10" s="10" t="n"/>
      <c r="R10" s="10" t="n"/>
      <c r="S10" s="16">
        <f>IF(ISNUMBER(D10),D10+TIME(3,0,0),"")</f>
        <v/>
      </c>
      <c r="T10" s="10" t="n"/>
      <c r="U10" s="17">
        <f>IF(OR(B10="",COUNT(D10:E10)&lt;2,E10&lt;D10,F10="Отменена"),0,MAX(0,MIN(E10,Сводка!$B$4)-MAX(D10,Сводка!$B$2)))</f>
        <v/>
      </c>
    </row>
    <row r="11">
      <c r="A11" s="9" t="n"/>
      <c r="B11" s="10" t="n"/>
      <c r="C11" s="10" t="n"/>
      <c r="D11" s="11" t="n"/>
      <c r="E11" s="11" t="n"/>
      <c r="F11" s="10" t="n"/>
      <c r="G11" s="12">
        <f>IF(B11="","",IF(OR(COUNT(D11:E11)&lt;2,E11&lt;D11),"Проверьте даты",IF(OR(F11="Отменена",F11="Возвращена"),"",IF(SUMPRODUCT(($B$2:$B$500=B11)*($D$2:$D$500&lt;=E11)*($E$2:$E$500&gt;=D11)*($F$2:$F$500&lt;&gt;"Отменена")*($F$2:$F$500&lt;&gt;"Возвращена"))&gt;1,"Пересечение","ОК"))))</f>
        <v/>
      </c>
      <c r="H11" s="12">
        <f>IF(OR(B11="",D11=""),"",IF(AND(OR(F11="Выдана",F11="Возвращена"),SUMPRODUCT(($B$2:$B$500=B11)*($D$2:$D$500=D11)*(($F$2:$F$500="Выдана")+($F$2:$F$500="Возвращена")))&gt;1),"Дубль",""))</f>
        <v/>
      </c>
      <c r="I11" s="13">
        <f>IF(OR(B11="",COUNT(D11:E11)&lt;2,E11&lt;D11),"",IF(Настройки!$B$6=Настройки!$M$3,INT(E11)-INT(D11)+1,ROUNDUP(ROUND((E11-D11)*24,2)/24,0)))</f>
        <v/>
      </c>
      <c r="J11" s="14" t="n"/>
      <c r="K11" s="15">
        <f>IF(OR(I11="",J11=""),"",IF(F11="Отменена",0,ROUND(I11*J11,2)))</f>
        <v/>
      </c>
      <c r="L11" s="15">
        <f>IF(K11="","",ROUND(K11*Настройки!$B$5,2))</f>
        <v/>
      </c>
      <c r="M11" s="15">
        <f>IF(A11="","",SUMIFS(Начисления!$M$2:$M$1000,Начисления!$F$2:$F$1000,A11))</f>
        <v/>
      </c>
      <c r="N11" s="15">
        <f>IF(A11="","",SUM(K11:M11))</f>
        <v/>
      </c>
      <c r="O11" s="14" t="n"/>
      <c r="P11" s="15">
        <f>IF(A11="","",N11-O11)</f>
        <v/>
      </c>
      <c r="Q11" s="10" t="n"/>
      <c r="R11" s="10" t="n"/>
      <c r="S11" s="16">
        <f>IF(ISNUMBER(D11),D11+TIME(3,0,0),"")</f>
        <v/>
      </c>
      <c r="T11" s="10" t="n"/>
      <c r="U11" s="17">
        <f>IF(OR(B11="",COUNT(D11:E11)&lt;2,E11&lt;D11,F11="Отменена"),0,MAX(0,MIN(E11,Сводка!$B$4)-MAX(D11,Сводка!$B$2)))</f>
        <v/>
      </c>
    </row>
    <row r="12">
      <c r="A12" s="9" t="n"/>
      <c r="B12" s="10" t="n"/>
      <c r="C12" s="10" t="n"/>
      <c r="D12" s="11" t="n"/>
      <c r="E12" s="11" t="n"/>
      <c r="F12" s="10" t="n"/>
      <c r="G12" s="12">
        <f>IF(B12="","",IF(OR(COUNT(D12:E12)&lt;2,E12&lt;D12),"Проверьте даты",IF(OR(F12="Отменена",F12="Возвращена"),"",IF(SUMPRODUCT(($B$2:$B$500=B12)*($D$2:$D$500&lt;=E12)*($E$2:$E$500&gt;=D12)*($F$2:$F$500&lt;&gt;"Отменена")*($F$2:$F$500&lt;&gt;"Возвращена"))&gt;1,"Пересечение","ОК"))))</f>
        <v/>
      </c>
      <c r="H12" s="12">
        <f>IF(OR(B12="",D12=""),"",IF(AND(OR(F12="Выдана",F12="Возвращена"),SUMPRODUCT(($B$2:$B$500=B12)*($D$2:$D$500=D12)*(($F$2:$F$500="Выдана")+($F$2:$F$500="Возвращена")))&gt;1),"Дубль",""))</f>
        <v/>
      </c>
      <c r="I12" s="13">
        <f>IF(OR(B12="",COUNT(D12:E12)&lt;2,E12&lt;D12),"",IF(Настройки!$B$6=Настройки!$M$3,INT(E12)-INT(D12)+1,ROUNDUP(ROUND((E12-D12)*24,2)/24,0)))</f>
        <v/>
      </c>
      <c r="J12" s="14" t="n"/>
      <c r="K12" s="15">
        <f>IF(OR(I12="",J12=""),"",IF(F12="Отменена",0,ROUND(I12*J12,2)))</f>
        <v/>
      </c>
      <c r="L12" s="15">
        <f>IF(K12="","",ROUND(K12*Настройки!$B$5,2))</f>
        <v/>
      </c>
      <c r="M12" s="15">
        <f>IF(A12="","",SUMIFS(Начисления!$M$2:$M$1000,Начисления!$F$2:$F$1000,A12))</f>
        <v/>
      </c>
      <c r="N12" s="15">
        <f>IF(A12="","",SUM(K12:M12))</f>
        <v/>
      </c>
      <c r="O12" s="14" t="n"/>
      <c r="P12" s="15">
        <f>IF(A12="","",N12-O12)</f>
        <v/>
      </c>
      <c r="Q12" s="10" t="n"/>
      <c r="R12" s="10" t="n"/>
      <c r="S12" s="16">
        <f>IF(ISNUMBER(D12),D12+TIME(3,0,0),"")</f>
        <v/>
      </c>
      <c r="T12" s="10" t="n"/>
      <c r="U12" s="17">
        <f>IF(OR(B12="",COUNT(D12:E12)&lt;2,E12&lt;D12,F12="Отменена"),0,MAX(0,MIN(E12,Сводка!$B$4)-MAX(D12,Сводка!$B$2)))</f>
        <v/>
      </c>
    </row>
    <row r="13">
      <c r="A13" s="9" t="n"/>
      <c r="B13" s="10" t="n"/>
      <c r="C13" s="10" t="n"/>
      <c r="D13" s="11" t="n"/>
      <c r="E13" s="11" t="n"/>
      <c r="F13" s="10" t="n"/>
      <c r="G13" s="12">
        <f>IF(B13="","",IF(OR(COUNT(D13:E13)&lt;2,E13&lt;D13),"Проверьте даты",IF(OR(F13="Отменена",F13="Возвращена"),"",IF(SUMPRODUCT(($B$2:$B$500=B13)*($D$2:$D$500&lt;=E13)*($E$2:$E$500&gt;=D13)*($F$2:$F$500&lt;&gt;"Отменена")*($F$2:$F$500&lt;&gt;"Возвращена"))&gt;1,"Пересечение","ОК"))))</f>
        <v/>
      </c>
      <c r="H13" s="12">
        <f>IF(OR(B13="",D13=""),"",IF(AND(OR(F13="Выдана",F13="Возвращена"),SUMPRODUCT(($B$2:$B$500=B13)*($D$2:$D$500=D13)*(($F$2:$F$500="Выдана")+($F$2:$F$500="Возвращена")))&gt;1),"Дубль",""))</f>
        <v/>
      </c>
      <c r="I13" s="13">
        <f>IF(OR(B13="",COUNT(D13:E13)&lt;2,E13&lt;D13),"",IF(Настройки!$B$6=Настройки!$M$3,INT(E13)-INT(D13)+1,ROUNDUP(ROUND((E13-D13)*24,2)/24,0)))</f>
        <v/>
      </c>
      <c r="J13" s="14" t="n"/>
      <c r="K13" s="15">
        <f>IF(OR(I13="",J13=""),"",IF(F13="Отменена",0,ROUND(I13*J13,2)))</f>
        <v/>
      </c>
      <c r="L13" s="15">
        <f>IF(K13="","",ROUND(K13*Настройки!$B$5,2))</f>
        <v/>
      </c>
      <c r="M13" s="15">
        <f>IF(A13="","",SUMIFS(Начисления!$M$2:$M$1000,Начисления!$F$2:$F$1000,A13))</f>
        <v/>
      </c>
      <c r="N13" s="15">
        <f>IF(A13="","",SUM(K13:M13))</f>
        <v/>
      </c>
      <c r="O13" s="14" t="n"/>
      <c r="P13" s="15">
        <f>IF(A13="","",N13-O13)</f>
        <v/>
      </c>
      <c r="Q13" s="10" t="n"/>
      <c r="R13" s="10" t="n"/>
      <c r="S13" s="16">
        <f>IF(ISNUMBER(D13),D13+TIME(3,0,0),"")</f>
        <v/>
      </c>
      <c r="T13" s="10" t="n"/>
      <c r="U13" s="17">
        <f>IF(OR(B13="",COUNT(D13:E13)&lt;2,E13&lt;D13,F13="Отменена"),0,MAX(0,MIN(E13,Сводка!$B$4)-MAX(D13,Сводка!$B$2)))</f>
        <v/>
      </c>
    </row>
    <row r="14">
      <c r="A14" s="9" t="n"/>
      <c r="B14" s="10" t="n"/>
      <c r="C14" s="10" t="n"/>
      <c r="D14" s="11" t="n"/>
      <c r="E14" s="11" t="n"/>
      <c r="F14" s="10" t="n"/>
      <c r="G14" s="12">
        <f>IF(B14="","",IF(OR(COUNT(D14:E14)&lt;2,E14&lt;D14),"Проверьте даты",IF(OR(F14="Отменена",F14="Возвращена"),"",IF(SUMPRODUCT(($B$2:$B$500=B14)*($D$2:$D$500&lt;=E14)*($E$2:$E$500&gt;=D14)*($F$2:$F$500&lt;&gt;"Отменена")*($F$2:$F$500&lt;&gt;"Возвращена"))&gt;1,"Пересечение","ОК"))))</f>
        <v/>
      </c>
      <c r="H14" s="12">
        <f>IF(OR(B14="",D14=""),"",IF(AND(OR(F14="Выдана",F14="Возвращена"),SUMPRODUCT(($B$2:$B$500=B14)*($D$2:$D$500=D14)*(($F$2:$F$500="Выдана")+($F$2:$F$500="Возвращена")))&gt;1),"Дубль",""))</f>
        <v/>
      </c>
      <c r="I14" s="13">
        <f>IF(OR(B14="",COUNT(D14:E14)&lt;2,E14&lt;D14),"",IF(Настройки!$B$6=Настройки!$M$3,INT(E14)-INT(D14)+1,ROUNDUP(ROUND((E14-D14)*24,2)/24,0)))</f>
        <v/>
      </c>
      <c r="J14" s="14" t="n"/>
      <c r="K14" s="15">
        <f>IF(OR(I14="",J14=""),"",IF(F14="Отменена",0,ROUND(I14*J14,2)))</f>
        <v/>
      </c>
      <c r="L14" s="15">
        <f>IF(K14="","",ROUND(K14*Настройки!$B$5,2))</f>
        <v/>
      </c>
      <c r="M14" s="15">
        <f>IF(A14="","",SUMIFS(Начисления!$M$2:$M$1000,Начисления!$F$2:$F$1000,A14))</f>
        <v/>
      </c>
      <c r="N14" s="15">
        <f>IF(A14="","",SUM(K14:M14))</f>
        <v/>
      </c>
      <c r="O14" s="14" t="n"/>
      <c r="P14" s="15">
        <f>IF(A14="","",N14-O14)</f>
        <v/>
      </c>
      <c r="Q14" s="10" t="n"/>
      <c r="R14" s="10" t="n"/>
      <c r="S14" s="16">
        <f>IF(ISNUMBER(D14),D14+TIME(3,0,0),"")</f>
        <v/>
      </c>
      <c r="T14" s="10" t="n"/>
      <c r="U14" s="17">
        <f>IF(OR(B14="",COUNT(D14:E14)&lt;2,E14&lt;D14,F14="Отменена"),0,MAX(0,MIN(E14,Сводка!$B$4)-MAX(D14,Сводка!$B$2)))</f>
        <v/>
      </c>
    </row>
    <row r="15">
      <c r="A15" s="9" t="n"/>
      <c r="B15" s="10" t="n"/>
      <c r="C15" s="10" t="n"/>
      <c r="D15" s="11" t="n"/>
      <c r="E15" s="11" t="n"/>
      <c r="F15" s="10" t="n"/>
      <c r="G15" s="12">
        <f>IF(B15="","",IF(OR(COUNT(D15:E15)&lt;2,E15&lt;D15),"Проверьте даты",IF(OR(F15="Отменена",F15="Возвращена"),"",IF(SUMPRODUCT(($B$2:$B$500=B15)*($D$2:$D$500&lt;=E15)*($E$2:$E$500&gt;=D15)*($F$2:$F$500&lt;&gt;"Отменена")*($F$2:$F$500&lt;&gt;"Возвращена"))&gt;1,"Пересечение","ОК"))))</f>
        <v/>
      </c>
      <c r="H15" s="12">
        <f>IF(OR(B15="",D15=""),"",IF(AND(OR(F15="Выдана",F15="Возвращена"),SUMPRODUCT(($B$2:$B$500=B15)*($D$2:$D$500=D15)*(($F$2:$F$500="Выдана")+($F$2:$F$500="Возвращена")))&gt;1),"Дубль",""))</f>
        <v/>
      </c>
      <c r="I15" s="13">
        <f>IF(OR(B15="",COUNT(D15:E15)&lt;2,E15&lt;D15),"",IF(Настройки!$B$6=Настройки!$M$3,INT(E15)-INT(D15)+1,ROUNDUP(ROUND((E15-D15)*24,2)/24,0)))</f>
        <v/>
      </c>
      <c r="J15" s="14" t="n"/>
      <c r="K15" s="15">
        <f>IF(OR(I15="",J15=""),"",IF(F15="Отменена",0,ROUND(I15*J15,2)))</f>
        <v/>
      </c>
      <c r="L15" s="15">
        <f>IF(K15="","",ROUND(K15*Настройки!$B$5,2))</f>
        <v/>
      </c>
      <c r="M15" s="15">
        <f>IF(A15="","",SUMIFS(Начисления!$M$2:$M$1000,Начисления!$F$2:$F$1000,A15))</f>
        <v/>
      </c>
      <c r="N15" s="15">
        <f>IF(A15="","",SUM(K15:M15))</f>
        <v/>
      </c>
      <c r="O15" s="14" t="n"/>
      <c r="P15" s="15">
        <f>IF(A15="","",N15-O15)</f>
        <v/>
      </c>
      <c r="Q15" s="10" t="n"/>
      <c r="R15" s="10" t="n"/>
      <c r="S15" s="16">
        <f>IF(ISNUMBER(D15),D15+TIME(3,0,0),"")</f>
        <v/>
      </c>
      <c r="T15" s="10" t="n"/>
      <c r="U15" s="17">
        <f>IF(OR(B15="",COUNT(D15:E15)&lt;2,E15&lt;D15,F15="Отменена"),0,MAX(0,MIN(E15,Сводка!$B$4)-MAX(D15,Сводка!$B$2)))</f>
        <v/>
      </c>
    </row>
    <row r="16">
      <c r="A16" s="9" t="n"/>
      <c r="B16" s="10" t="n"/>
      <c r="C16" s="10" t="n"/>
      <c r="D16" s="11" t="n"/>
      <c r="E16" s="11" t="n"/>
      <c r="F16" s="10" t="n"/>
      <c r="G16" s="12">
        <f>IF(B16="","",IF(OR(COUNT(D16:E16)&lt;2,E16&lt;D16),"Проверьте даты",IF(OR(F16="Отменена",F16="Возвращена"),"",IF(SUMPRODUCT(($B$2:$B$500=B16)*($D$2:$D$500&lt;=E16)*($E$2:$E$500&gt;=D16)*($F$2:$F$500&lt;&gt;"Отменена")*($F$2:$F$500&lt;&gt;"Возвращена"))&gt;1,"Пересечение","ОК"))))</f>
        <v/>
      </c>
      <c r="H16" s="12">
        <f>IF(OR(B16="",D16=""),"",IF(AND(OR(F16="Выдана",F16="Возвращена"),SUMPRODUCT(($B$2:$B$500=B16)*($D$2:$D$500=D16)*(($F$2:$F$500="Выдана")+($F$2:$F$500="Возвращена")))&gt;1),"Дубль",""))</f>
        <v/>
      </c>
      <c r="I16" s="13">
        <f>IF(OR(B16="",COUNT(D16:E16)&lt;2,E16&lt;D16),"",IF(Настройки!$B$6=Настройки!$M$3,INT(E16)-INT(D16)+1,ROUNDUP(ROUND((E16-D16)*24,2)/24,0)))</f>
        <v/>
      </c>
      <c r="J16" s="14" t="n"/>
      <c r="K16" s="15">
        <f>IF(OR(I16="",J16=""),"",IF(F16="Отменена",0,ROUND(I16*J16,2)))</f>
        <v/>
      </c>
      <c r="L16" s="15">
        <f>IF(K16="","",ROUND(K16*Настройки!$B$5,2))</f>
        <v/>
      </c>
      <c r="M16" s="15">
        <f>IF(A16="","",SUMIFS(Начисления!$M$2:$M$1000,Начисления!$F$2:$F$1000,A16))</f>
        <v/>
      </c>
      <c r="N16" s="15">
        <f>IF(A16="","",SUM(K16:M16))</f>
        <v/>
      </c>
      <c r="O16" s="14" t="n"/>
      <c r="P16" s="15">
        <f>IF(A16="","",N16-O16)</f>
        <v/>
      </c>
      <c r="Q16" s="10" t="n"/>
      <c r="R16" s="10" t="n"/>
      <c r="S16" s="16">
        <f>IF(ISNUMBER(D16),D16+TIME(3,0,0),"")</f>
        <v/>
      </c>
      <c r="T16" s="10" t="n"/>
      <c r="U16" s="17">
        <f>IF(OR(B16="",COUNT(D16:E16)&lt;2,E16&lt;D16,F16="Отменена"),0,MAX(0,MIN(E16,Сводка!$B$4)-MAX(D16,Сводка!$B$2)))</f>
        <v/>
      </c>
    </row>
    <row r="17">
      <c r="A17" s="9" t="n"/>
      <c r="B17" s="10" t="n"/>
      <c r="C17" s="10" t="n"/>
      <c r="D17" s="11" t="n"/>
      <c r="E17" s="11" t="n"/>
      <c r="F17" s="10" t="n"/>
      <c r="G17" s="12">
        <f>IF(B17="","",IF(OR(COUNT(D17:E17)&lt;2,E17&lt;D17),"Проверьте даты",IF(OR(F17="Отменена",F17="Возвращена"),"",IF(SUMPRODUCT(($B$2:$B$500=B17)*($D$2:$D$500&lt;=E17)*($E$2:$E$500&gt;=D17)*($F$2:$F$500&lt;&gt;"Отменена")*($F$2:$F$500&lt;&gt;"Возвращена"))&gt;1,"Пересечение","ОК"))))</f>
        <v/>
      </c>
      <c r="H17" s="12">
        <f>IF(OR(B17="",D17=""),"",IF(AND(OR(F17="Выдана",F17="Возвращена"),SUMPRODUCT(($B$2:$B$500=B17)*($D$2:$D$500=D17)*(($F$2:$F$500="Выдана")+($F$2:$F$500="Возвращена")))&gt;1),"Дубль",""))</f>
        <v/>
      </c>
      <c r="I17" s="13">
        <f>IF(OR(B17="",COUNT(D17:E17)&lt;2,E17&lt;D17),"",IF(Настройки!$B$6=Настройки!$M$3,INT(E17)-INT(D17)+1,ROUNDUP(ROUND((E17-D17)*24,2)/24,0)))</f>
        <v/>
      </c>
      <c r="J17" s="14" t="n"/>
      <c r="K17" s="15">
        <f>IF(OR(I17="",J17=""),"",IF(F17="Отменена",0,ROUND(I17*J17,2)))</f>
        <v/>
      </c>
      <c r="L17" s="15">
        <f>IF(K17="","",ROUND(K17*Настройки!$B$5,2))</f>
        <v/>
      </c>
      <c r="M17" s="15">
        <f>IF(A17="","",SUMIFS(Начисления!$M$2:$M$1000,Начисления!$F$2:$F$1000,A17))</f>
        <v/>
      </c>
      <c r="N17" s="15">
        <f>IF(A17="","",SUM(K17:M17))</f>
        <v/>
      </c>
      <c r="O17" s="14" t="n"/>
      <c r="P17" s="15">
        <f>IF(A17="","",N17-O17)</f>
        <v/>
      </c>
      <c r="Q17" s="10" t="n"/>
      <c r="R17" s="10" t="n"/>
      <c r="S17" s="16">
        <f>IF(ISNUMBER(D17),D17+TIME(3,0,0),"")</f>
        <v/>
      </c>
      <c r="T17" s="10" t="n"/>
      <c r="U17" s="17">
        <f>IF(OR(B17="",COUNT(D17:E17)&lt;2,E17&lt;D17,F17="Отменена"),0,MAX(0,MIN(E17,Сводка!$B$4)-MAX(D17,Сводка!$B$2)))</f>
        <v/>
      </c>
    </row>
    <row r="18">
      <c r="A18" s="9" t="n"/>
      <c r="B18" s="10" t="n"/>
      <c r="C18" s="10" t="n"/>
      <c r="D18" s="11" t="n"/>
      <c r="E18" s="11" t="n"/>
      <c r="F18" s="10" t="n"/>
      <c r="G18" s="12">
        <f>IF(B18="","",IF(OR(COUNT(D18:E18)&lt;2,E18&lt;D18),"Проверьте даты",IF(OR(F18="Отменена",F18="Возвращена"),"",IF(SUMPRODUCT(($B$2:$B$500=B18)*($D$2:$D$500&lt;=E18)*($E$2:$E$500&gt;=D18)*($F$2:$F$500&lt;&gt;"Отменена")*($F$2:$F$500&lt;&gt;"Возвращена"))&gt;1,"Пересечение","ОК"))))</f>
        <v/>
      </c>
      <c r="H18" s="12">
        <f>IF(OR(B18="",D18=""),"",IF(AND(OR(F18="Выдана",F18="Возвращена"),SUMPRODUCT(($B$2:$B$500=B18)*($D$2:$D$500=D18)*(($F$2:$F$500="Выдана")+($F$2:$F$500="Возвращена")))&gt;1),"Дубль",""))</f>
        <v/>
      </c>
      <c r="I18" s="13">
        <f>IF(OR(B18="",COUNT(D18:E18)&lt;2,E18&lt;D18),"",IF(Настройки!$B$6=Настройки!$M$3,INT(E18)-INT(D18)+1,ROUNDUP(ROUND((E18-D18)*24,2)/24,0)))</f>
        <v/>
      </c>
      <c r="J18" s="14" t="n"/>
      <c r="K18" s="15">
        <f>IF(OR(I18="",J18=""),"",IF(F18="Отменена",0,ROUND(I18*J18,2)))</f>
        <v/>
      </c>
      <c r="L18" s="15">
        <f>IF(K18="","",ROUND(K18*Настройки!$B$5,2))</f>
        <v/>
      </c>
      <c r="M18" s="15">
        <f>IF(A18="","",SUMIFS(Начисления!$M$2:$M$1000,Начисления!$F$2:$F$1000,A18))</f>
        <v/>
      </c>
      <c r="N18" s="15">
        <f>IF(A18="","",SUM(K18:M18))</f>
        <v/>
      </c>
      <c r="O18" s="14" t="n"/>
      <c r="P18" s="15">
        <f>IF(A18="","",N18-O18)</f>
        <v/>
      </c>
      <c r="Q18" s="10" t="n"/>
      <c r="R18" s="10" t="n"/>
      <c r="S18" s="16">
        <f>IF(ISNUMBER(D18),D18+TIME(3,0,0),"")</f>
        <v/>
      </c>
      <c r="T18" s="10" t="n"/>
      <c r="U18" s="17">
        <f>IF(OR(B18="",COUNT(D18:E18)&lt;2,E18&lt;D18,F18="Отменена"),0,MAX(0,MIN(E18,Сводка!$B$4)-MAX(D18,Сводка!$B$2)))</f>
        <v/>
      </c>
    </row>
    <row r="19">
      <c r="A19" s="9" t="n"/>
      <c r="B19" s="10" t="n"/>
      <c r="C19" s="10" t="n"/>
      <c r="D19" s="11" t="n"/>
      <c r="E19" s="11" t="n"/>
      <c r="F19" s="10" t="n"/>
      <c r="G19" s="12">
        <f>IF(B19="","",IF(OR(COUNT(D19:E19)&lt;2,E19&lt;D19),"Проверьте даты",IF(OR(F19="Отменена",F19="Возвращена"),"",IF(SUMPRODUCT(($B$2:$B$500=B19)*($D$2:$D$500&lt;=E19)*($E$2:$E$500&gt;=D19)*($F$2:$F$500&lt;&gt;"Отменена")*($F$2:$F$500&lt;&gt;"Возвращена"))&gt;1,"Пересечение","ОК"))))</f>
        <v/>
      </c>
      <c r="H19" s="12">
        <f>IF(OR(B19="",D19=""),"",IF(AND(OR(F19="Выдана",F19="Возвращена"),SUMPRODUCT(($B$2:$B$500=B19)*($D$2:$D$500=D19)*(($F$2:$F$500="Выдана")+($F$2:$F$500="Возвращена")))&gt;1),"Дубль",""))</f>
        <v/>
      </c>
      <c r="I19" s="13">
        <f>IF(OR(B19="",COUNT(D19:E19)&lt;2,E19&lt;D19),"",IF(Настройки!$B$6=Настройки!$M$3,INT(E19)-INT(D19)+1,ROUNDUP(ROUND((E19-D19)*24,2)/24,0)))</f>
        <v/>
      </c>
      <c r="J19" s="14" t="n"/>
      <c r="K19" s="15">
        <f>IF(OR(I19="",J19=""),"",IF(F19="Отменена",0,ROUND(I19*J19,2)))</f>
        <v/>
      </c>
      <c r="L19" s="15">
        <f>IF(K19="","",ROUND(K19*Настройки!$B$5,2))</f>
        <v/>
      </c>
      <c r="M19" s="15">
        <f>IF(A19="","",SUMIFS(Начисления!$M$2:$M$1000,Начисления!$F$2:$F$1000,A19))</f>
        <v/>
      </c>
      <c r="N19" s="15">
        <f>IF(A19="","",SUM(K19:M19))</f>
        <v/>
      </c>
      <c r="O19" s="14" t="n"/>
      <c r="P19" s="15">
        <f>IF(A19="","",N19-O19)</f>
        <v/>
      </c>
      <c r="Q19" s="10" t="n"/>
      <c r="R19" s="10" t="n"/>
      <c r="S19" s="16">
        <f>IF(ISNUMBER(D19),D19+TIME(3,0,0),"")</f>
        <v/>
      </c>
      <c r="T19" s="10" t="n"/>
      <c r="U19" s="17">
        <f>IF(OR(B19="",COUNT(D19:E19)&lt;2,E19&lt;D19,F19="Отменена"),0,MAX(0,MIN(E19,Сводка!$B$4)-MAX(D19,Сводка!$B$2)))</f>
        <v/>
      </c>
    </row>
    <row r="20">
      <c r="A20" s="9" t="n"/>
      <c r="B20" s="10" t="n"/>
      <c r="C20" s="10" t="n"/>
      <c r="D20" s="11" t="n"/>
      <c r="E20" s="11" t="n"/>
      <c r="F20" s="10" t="n"/>
      <c r="G20" s="12">
        <f>IF(B20="","",IF(OR(COUNT(D20:E20)&lt;2,E20&lt;D20),"Проверьте даты",IF(OR(F20="Отменена",F20="Возвращена"),"",IF(SUMPRODUCT(($B$2:$B$500=B20)*($D$2:$D$500&lt;=E20)*($E$2:$E$500&gt;=D20)*($F$2:$F$500&lt;&gt;"Отменена")*($F$2:$F$500&lt;&gt;"Возвращена"))&gt;1,"Пересечение","ОК"))))</f>
        <v/>
      </c>
      <c r="H20" s="12">
        <f>IF(OR(B20="",D20=""),"",IF(AND(OR(F20="Выдана",F20="Возвращена"),SUMPRODUCT(($B$2:$B$500=B20)*($D$2:$D$500=D20)*(($F$2:$F$500="Выдана")+($F$2:$F$500="Возвращена")))&gt;1),"Дубль",""))</f>
        <v/>
      </c>
      <c r="I20" s="13">
        <f>IF(OR(B20="",COUNT(D20:E20)&lt;2,E20&lt;D20),"",IF(Настройки!$B$6=Настройки!$M$3,INT(E20)-INT(D20)+1,ROUNDUP(ROUND((E20-D20)*24,2)/24,0)))</f>
        <v/>
      </c>
      <c r="J20" s="14" t="n"/>
      <c r="K20" s="15">
        <f>IF(OR(I20="",J20=""),"",IF(F20="Отменена",0,ROUND(I20*J20,2)))</f>
        <v/>
      </c>
      <c r="L20" s="15">
        <f>IF(K20="","",ROUND(K20*Настройки!$B$5,2))</f>
        <v/>
      </c>
      <c r="M20" s="15">
        <f>IF(A20="","",SUMIFS(Начисления!$M$2:$M$1000,Начисления!$F$2:$F$1000,A20))</f>
        <v/>
      </c>
      <c r="N20" s="15">
        <f>IF(A20="","",SUM(K20:M20))</f>
        <v/>
      </c>
      <c r="O20" s="14" t="n"/>
      <c r="P20" s="15">
        <f>IF(A20="","",N20-O20)</f>
        <v/>
      </c>
      <c r="Q20" s="10" t="n"/>
      <c r="R20" s="10" t="n"/>
      <c r="S20" s="16">
        <f>IF(ISNUMBER(D20),D20+TIME(3,0,0),"")</f>
        <v/>
      </c>
      <c r="T20" s="10" t="n"/>
      <c r="U20" s="17">
        <f>IF(OR(B20="",COUNT(D20:E20)&lt;2,E20&lt;D20,F20="Отменена"),0,MAX(0,MIN(E20,Сводка!$B$4)-MAX(D20,Сводка!$B$2)))</f>
        <v/>
      </c>
    </row>
    <row r="21">
      <c r="A21" s="9" t="n"/>
      <c r="B21" s="10" t="n"/>
      <c r="C21" s="10" t="n"/>
      <c r="D21" s="11" t="n"/>
      <c r="E21" s="11" t="n"/>
      <c r="F21" s="10" t="n"/>
      <c r="G21" s="12">
        <f>IF(B21="","",IF(OR(COUNT(D21:E21)&lt;2,E21&lt;D21),"Проверьте даты",IF(OR(F21="Отменена",F21="Возвращена"),"",IF(SUMPRODUCT(($B$2:$B$500=B21)*($D$2:$D$500&lt;=E21)*($E$2:$E$500&gt;=D21)*($F$2:$F$500&lt;&gt;"Отменена")*($F$2:$F$500&lt;&gt;"Возвращена"))&gt;1,"Пересечение","ОК"))))</f>
        <v/>
      </c>
      <c r="H21" s="12">
        <f>IF(OR(B21="",D21=""),"",IF(AND(OR(F21="Выдана",F21="Возвращена"),SUMPRODUCT(($B$2:$B$500=B21)*($D$2:$D$500=D21)*(($F$2:$F$500="Выдана")+($F$2:$F$500="Возвращена")))&gt;1),"Дубль",""))</f>
        <v/>
      </c>
      <c r="I21" s="13">
        <f>IF(OR(B21="",COUNT(D21:E21)&lt;2,E21&lt;D21),"",IF(Настройки!$B$6=Настройки!$M$3,INT(E21)-INT(D21)+1,ROUNDUP(ROUND((E21-D21)*24,2)/24,0)))</f>
        <v/>
      </c>
      <c r="J21" s="14" t="n"/>
      <c r="K21" s="15">
        <f>IF(OR(I21="",J21=""),"",IF(F21="Отменена",0,ROUND(I21*J21,2)))</f>
        <v/>
      </c>
      <c r="L21" s="15">
        <f>IF(K21="","",ROUND(K21*Настройки!$B$5,2))</f>
        <v/>
      </c>
      <c r="M21" s="15">
        <f>IF(A21="","",SUMIFS(Начисления!$M$2:$M$1000,Начисления!$F$2:$F$1000,A21))</f>
        <v/>
      </c>
      <c r="N21" s="15">
        <f>IF(A21="","",SUM(K21:M21))</f>
        <v/>
      </c>
      <c r="O21" s="14" t="n"/>
      <c r="P21" s="15">
        <f>IF(A21="","",N21-O21)</f>
        <v/>
      </c>
      <c r="Q21" s="10" t="n"/>
      <c r="R21" s="10" t="n"/>
      <c r="S21" s="16">
        <f>IF(ISNUMBER(D21),D21+TIME(3,0,0),"")</f>
        <v/>
      </c>
      <c r="T21" s="10" t="n"/>
      <c r="U21" s="17">
        <f>IF(OR(B21="",COUNT(D21:E21)&lt;2,E21&lt;D21,F21="Отменена"),0,MAX(0,MIN(E21,Сводка!$B$4)-MAX(D21,Сводка!$B$2)))</f>
        <v/>
      </c>
    </row>
    <row r="22">
      <c r="A22" s="9" t="n"/>
      <c r="B22" s="10" t="n"/>
      <c r="C22" s="10" t="n"/>
      <c r="D22" s="11" t="n"/>
      <c r="E22" s="11" t="n"/>
      <c r="F22" s="10" t="n"/>
      <c r="G22" s="12">
        <f>IF(B22="","",IF(OR(COUNT(D22:E22)&lt;2,E22&lt;D22),"Проверьте даты",IF(OR(F22="Отменена",F22="Возвращена"),"",IF(SUMPRODUCT(($B$2:$B$500=B22)*($D$2:$D$500&lt;=E22)*($E$2:$E$500&gt;=D22)*($F$2:$F$500&lt;&gt;"Отменена")*($F$2:$F$500&lt;&gt;"Возвращена"))&gt;1,"Пересечение","ОК"))))</f>
        <v/>
      </c>
      <c r="H22" s="12">
        <f>IF(OR(B22="",D22=""),"",IF(AND(OR(F22="Выдана",F22="Возвращена"),SUMPRODUCT(($B$2:$B$500=B22)*($D$2:$D$500=D22)*(($F$2:$F$500="Выдана")+($F$2:$F$500="Возвращена")))&gt;1),"Дубль",""))</f>
        <v/>
      </c>
      <c r="I22" s="13">
        <f>IF(OR(B22="",COUNT(D22:E22)&lt;2,E22&lt;D22),"",IF(Настройки!$B$6=Настройки!$M$3,INT(E22)-INT(D22)+1,ROUNDUP(ROUND((E22-D22)*24,2)/24,0)))</f>
        <v/>
      </c>
      <c r="J22" s="14" t="n"/>
      <c r="K22" s="15">
        <f>IF(OR(I22="",J22=""),"",IF(F22="Отменена",0,ROUND(I22*J22,2)))</f>
        <v/>
      </c>
      <c r="L22" s="15">
        <f>IF(K22="","",ROUND(K22*Настройки!$B$5,2))</f>
        <v/>
      </c>
      <c r="M22" s="15">
        <f>IF(A22="","",SUMIFS(Начисления!$M$2:$M$1000,Начисления!$F$2:$F$1000,A22))</f>
        <v/>
      </c>
      <c r="N22" s="15">
        <f>IF(A22="","",SUM(K22:M22))</f>
        <v/>
      </c>
      <c r="O22" s="14" t="n"/>
      <c r="P22" s="15">
        <f>IF(A22="","",N22-O22)</f>
        <v/>
      </c>
      <c r="Q22" s="10" t="n"/>
      <c r="R22" s="10" t="n"/>
      <c r="S22" s="16">
        <f>IF(ISNUMBER(D22),D22+TIME(3,0,0),"")</f>
        <v/>
      </c>
      <c r="T22" s="10" t="n"/>
      <c r="U22" s="17">
        <f>IF(OR(B22="",COUNT(D22:E22)&lt;2,E22&lt;D22,F22="Отменена"),0,MAX(0,MIN(E22,Сводка!$B$4)-MAX(D22,Сводка!$B$2)))</f>
        <v/>
      </c>
    </row>
    <row r="23">
      <c r="A23" s="9" t="n"/>
      <c r="B23" s="10" t="n"/>
      <c r="C23" s="10" t="n"/>
      <c r="D23" s="11" t="n"/>
      <c r="E23" s="11" t="n"/>
      <c r="F23" s="10" t="n"/>
      <c r="G23" s="12">
        <f>IF(B23="","",IF(OR(COUNT(D23:E23)&lt;2,E23&lt;D23),"Проверьте даты",IF(OR(F23="Отменена",F23="Возвращена"),"",IF(SUMPRODUCT(($B$2:$B$500=B23)*($D$2:$D$500&lt;=E23)*($E$2:$E$500&gt;=D23)*($F$2:$F$500&lt;&gt;"Отменена")*($F$2:$F$500&lt;&gt;"Возвращена"))&gt;1,"Пересечение","ОК"))))</f>
        <v/>
      </c>
      <c r="H23" s="12">
        <f>IF(OR(B23="",D23=""),"",IF(AND(OR(F23="Выдана",F23="Возвращена"),SUMPRODUCT(($B$2:$B$500=B23)*($D$2:$D$500=D23)*(($F$2:$F$500="Выдана")+($F$2:$F$500="Возвращена")))&gt;1),"Дубль",""))</f>
        <v/>
      </c>
      <c r="I23" s="13">
        <f>IF(OR(B23="",COUNT(D23:E23)&lt;2,E23&lt;D23),"",IF(Настройки!$B$6=Настройки!$M$3,INT(E23)-INT(D23)+1,ROUNDUP(ROUND((E23-D23)*24,2)/24,0)))</f>
        <v/>
      </c>
      <c r="J23" s="14" t="n"/>
      <c r="K23" s="15">
        <f>IF(OR(I23="",J23=""),"",IF(F23="Отменена",0,ROUND(I23*J23,2)))</f>
        <v/>
      </c>
      <c r="L23" s="15">
        <f>IF(K23="","",ROUND(K23*Настройки!$B$5,2))</f>
        <v/>
      </c>
      <c r="M23" s="15">
        <f>IF(A23="","",SUMIFS(Начисления!$M$2:$M$1000,Начисления!$F$2:$F$1000,A23))</f>
        <v/>
      </c>
      <c r="N23" s="15">
        <f>IF(A23="","",SUM(K23:M23))</f>
        <v/>
      </c>
      <c r="O23" s="14" t="n"/>
      <c r="P23" s="15">
        <f>IF(A23="","",N23-O23)</f>
        <v/>
      </c>
      <c r="Q23" s="10" t="n"/>
      <c r="R23" s="10" t="n"/>
      <c r="S23" s="16">
        <f>IF(ISNUMBER(D23),D23+TIME(3,0,0),"")</f>
        <v/>
      </c>
      <c r="T23" s="10" t="n"/>
      <c r="U23" s="17">
        <f>IF(OR(B23="",COUNT(D23:E23)&lt;2,E23&lt;D23,F23="Отменена"),0,MAX(0,MIN(E23,Сводка!$B$4)-MAX(D23,Сводка!$B$2)))</f>
        <v/>
      </c>
    </row>
    <row r="24">
      <c r="A24" s="9" t="n"/>
      <c r="B24" s="10" t="n"/>
      <c r="C24" s="10" t="n"/>
      <c r="D24" s="11" t="n"/>
      <c r="E24" s="11" t="n"/>
      <c r="F24" s="10" t="n"/>
      <c r="G24" s="12">
        <f>IF(B24="","",IF(OR(COUNT(D24:E24)&lt;2,E24&lt;D24),"Проверьте даты",IF(OR(F24="Отменена",F24="Возвращена"),"",IF(SUMPRODUCT(($B$2:$B$500=B24)*($D$2:$D$500&lt;=E24)*($E$2:$E$500&gt;=D24)*($F$2:$F$500&lt;&gt;"Отменена")*($F$2:$F$500&lt;&gt;"Возвращена"))&gt;1,"Пересечение","ОК"))))</f>
        <v/>
      </c>
      <c r="H24" s="12">
        <f>IF(OR(B24="",D24=""),"",IF(AND(OR(F24="Выдана",F24="Возвращена"),SUMPRODUCT(($B$2:$B$500=B24)*($D$2:$D$500=D24)*(($F$2:$F$500="Выдана")+($F$2:$F$500="Возвращена")))&gt;1),"Дубль",""))</f>
        <v/>
      </c>
      <c r="I24" s="13">
        <f>IF(OR(B24="",COUNT(D24:E24)&lt;2,E24&lt;D24),"",IF(Настройки!$B$6=Настройки!$M$3,INT(E24)-INT(D24)+1,ROUNDUP(ROUND((E24-D24)*24,2)/24,0)))</f>
        <v/>
      </c>
      <c r="J24" s="14" t="n"/>
      <c r="K24" s="15">
        <f>IF(OR(I24="",J24=""),"",IF(F24="Отменена",0,ROUND(I24*J24,2)))</f>
        <v/>
      </c>
      <c r="L24" s="15">
        <f>IF(K24="","",ROUND(K24*Настройки!$B$5,2))</f>
        <v/>
      </c>
      <c r="M24" s="15">
        <f>IF(A24="","",SUMIFS(Начисления!$M$2:$M$1000,Начисления!$F$2:$F$1000,A24))</f>
        <v/>
      </c>
      <c r="N24" s="15">
        <f>IF(A24="","",SUM(K24:M24))</f>
        <v/>
      </c>
      <c r="O24" s="14" t="n"/>
      <c r="P24" s="15">
        <f>IF(A24="","",N24-O24)</f>
        <v/>
      </c>
      <c r="Q24" s="10" t="n"/>
      <c r="R24" s="10" t="n"/>
      <c r="S24" s="16">
        <f>IF(ISNUMBER(D24),D24+TIME(3,0,0),"")</f>
        <v/>
      </c>
      <c r="T24" s="10" t="n"/>
      <c r="U24" s="17">
        <f>IF(OR(B24="",COUNT(D24:E24)&lt;2,E24&lt;D24,F24="Отменена"),0,MAX(0,MIN(E24,Сводка!$B$4)-MAX(D24,Сводка!$B$2)))</f>
        <v/>
      </c>
    </row>
    <row r="25">
      <c r="A25" s="9" t="n"/>
      <c r="B25" s="10" t="n"/>
      <c r="C25" s="10" t="n"/>
      <c r="D25" s="11" t="n"/>
      <c r="E25" s="11" t="n"/>
      <c r="F25" s="10" t="n"/>
      <c r="G25" s="12">
        <f>IF(B25="","",IF(OR(COUNT(D25:E25)&lt;2,E25&lt;D25),"Проверьте даты",IF(OR(F25="Отменена",F25="Возвращена"),"",IF(SUMPRODUCT(($B$2:$B$500=B25)*($D$2:$D$500&lt;=E25)*($E$2:$E$500&gt;=D25)*($F$2:$F$500&lt;&gt;"Отменена")*($F$2:$F$500&lt;&gt;"Возвращена"))&gt;1,"Пересечение","ОК"))))</f>
        <v/>
      </c>
      <c r="H25" s="12">
        <f>IF(OR(B25="",D25=""),"",IF(AND(OR(F25="Выдана",F25="Возвращена"),SUMPRODUCT(($B$2:$B$500=B25)*($D$2:$D$500=D25)*(($F$2:$F$500="Выдана")+($F$2:$F$500="Возвращена")))&gt;1),"Дубль",""))</f>
        <v/>
      </c>
      <c r="I25" s="13">
        <f>IF(OR(B25="",COUNT(D25:E25)&lt;2,E25&lt;D25),"",IF(Настройки!$B$6=Настройки!$M$3,INT(E25)-INT(D25)+1,ROUNDUP(ROUND((E25-D25)*24,2)/24,0)))</f>
        <v/>
      </c>
      <c r="J25" s="14" t="n"/>
      <c r="K25" s="15">
        <f>IF(OR(I25="",J25=""),"",IF(F25="Отменена",0,ROUND(I25*J25,2)))</f>
        <v/>
      </c>
      <c r="L25" s="15">
        <f>IF(K25="","",ROUND(K25*Настройки!$B$5,2))</f>
        <v/>
      </c>
      <c r="M25" s="15">
        <f>IF(A25="","",SUMIFS(Начисления!$M$2:$M$1000,Начисления!$F$2:$F$1000,A25))</f>
        <v/>
      </c>
      <c r="N25" s="15">
        <f>IF(A25="","",SUM(K25:M25))</f>
        <v/>
      </c>
      <c r="O25" s="14" t="n"/>
      <c r="P25" s="15">
        <f>IF(A25="","",N25-O25)</f>
        <v/>
      </c>
      <c r="Q25" s="10" t="n"/>
      <c r="R25" s="10" t="n"/>
      <c r="S25" s="16">
        <f>IF(ISNUMBER(D25),D25+TIME(3,0,0),"")</f>
        <v/>
      </c>
      <c r="T25" s="10" t="n"/>
      <c r="U25" s="17">
        <f>IF(OR(B25="",COUNT(D25:E25)&lt;2,E25&lt;D25,F25="Отменена"),0,MAX(0,MIN(E25,Сводка!$B$4)-MAX(D25,Сводка!$B$2)))</f>
        <v/>
      </c>
    </row>
    <row r="26">
      <c r="A26" s="9" t="n"/>
      <c r="B26" s="10" t="n"/>
      <c r="C26" s="10" t="n"/>
      <c r="D26" s="11" t="n"/>
      <c r="E26" s="11" t="n"/>
      <c r="F26" s="10" t="n"/>
      <c r="G26" s="12">
        <f>IF(B26="","",IF(OR(COUNT(D26:E26)&lt;2,E26&lt;D26),"Проверьте даты",IF(OR(F26="Отменена",F26="Возвращена"),"",IF(SUMPRODUCT(($B$2:$B$500=B26)*($D$2:$D$500&lt;=E26)*($E$2:$E$500&gt;=D26)*($F$2:$F$500&lt;&gt;"Отменена")*($F$2:$F$500&lt;&gt;"Возвращена"))&gt;1,"Пересечение","ОК"))))</f>
        <v/>
      </c>
      <c r="H26" s="12">
        <f>IF(OR(B26="",D26=""),"",IF(AND(OR(F26="Выдана",F26="Возвращена"),SUMPRODUCT(($B$2:$B$500=B26)*($D$2:$D$500=D26)*(($F$2:$F$500="Выдана")+($F$2:$F$500="Возвращена")))&gt;1),"Дубль",""))</f>
        <v/>
      </c>
      <c r="I26" s="13">
        <f>IF(OR(B26="",COUNT(D26:E26)&lt;2,E26&lt;D26),"",IF(Настройки!$B$6=Настройки!$M$3,INT(E26)-INT(D26)+1,ROUNDUP(ROUND((E26-D26)*24,2)/24,0)))</f>
        <v/>
      </c>
      <c r="J26" s="14" t="n"/>
      <c r="K26" s="15">
        <f>IF(OR(I26="",J26=""),"",IF(F26="Отменена",0,ROUND(I26*J26,2)))</f>
        <v/>
      </c>
      <c r="L26" s="15">
        <f>IF(K26="","",ROUND(K26*Настройки!$B$5,2))</f>
        <v/>
      </c>
      <c r="M26" s="15">
        <f>IF(A26="","",SUMIFS(Начисления!$M$2:$M$1000,Начисления!$F$2:$F$1000,A26))</f>
        <v/>
      </c>
      <c r="N26" s="15">
        <f>IF(A26="","",SUM(K26:M26))</f>
        <v/>
      </c>
      <c r="O26" s="14" t="n"/>
      <c r="P26" s="15">
        <f>IF(A26="","",N26-O26)</f>
        <v/>
      </c>
      <c r="Q26" s="10" t="n"/>
      <c r="R26" s="10" t="n"/>
      <c r="S26" s="16">
        <f>IF(ISNUMBER(D26),D26+TIME(3,0,0),"")</f>
        <v/>
      </c>
      <c r="T26" s="10" t="n"/>
      <c r="U26" s="17">
        <f>IF(OR(B26="",COUNT(D26:E26)&lt;2,E26&lt;D26,F26="Отменена"),0,MAX(0,MIN(E26,Сводка!$B$4)-MAX(D26,Сводка!$B$2)))</f>
        <v/>
      </c>
    </row>
    <row r="27">
      <c r="A27" s="9" t="n"/>
      <c r="B27" s="10" t="n"/>
      <c r="C27" s="10" t="n"/>
      <c r="D27" s="11" t="n"/>
      <c r="E27" s="11" t="n"/>
      <c r="F27" s="10" t="n"/>
      <c r="G27" s="12">
        <f>IF(B27="","",IF(OR(COUNT(D27:E27)&lt;2,E27&lt;D27),"Проверьте даты",IF(OR(F27="Отменена",F27="Возвращена"),"",IF(SUMPRODUCT(($B$2:$B$500=B27)*($D$2:$D$500&lt;=E27)*($E$2:$E$500&gt;=D27)*($F$2:$F$500&lt;&gt;"Отменена")*($F$2:$F$500&lt;&gt;"Возвращена"))&gt;1,"Пересечение","ОК"))))</f>
        <v/>
      </c>
      <c r="H27" s="12">
        <f>IF(OR(B27="",D27=""),"",IF(AND(OR(F27="Выдана",F27="Возвращена"),SUMPRODUCT(($B$2:$B$500=B27)*($D$2:$D$500=D27)*(($F$2:$F$500="Выдана")+($F$2:$F$500="Возвращена")))&gt;1),"Дубль",""))</f>
        <v/>
      </c>
      <c r="I27" s="13">
        <f>IF(OR(B27="",COUNT(D27:E27)&lt;2,E27&lt;D27),"",IF(Настройки!$B$6=Настройки!$M$3,INT(E27)-INT(D27)+1,ROUNDUP(ROUND((E27-D27)*24,2)/24,0)))</f>
        <v/>
      </c>
      <c r="J27" s="14" t="n"/>
      <c r="K27" s="15">
        <f>IF(OR(I27="",J27=""),"",IF(F27="Отменена",0,ROUND(I27*J27,2)))</f>
        <v/>
      </c>
      <c r="L27" s="15">
        <f>IF(K27="","",ROUND(K27*Настройки!$B$5,2))</f>
        <v/>
      </c>
      <c r="M27" s="15">
        <f>IF(A27="","",SUMIFS(Начисления!$M$2:$M$1000,Начисления!$F$2:$F$1000,A27))</f>
        <v/>
      </c>
      <c r="N27" s="15">
        <f>IF(A27="","",SUM(K27:M27))</f>
        <v/>
      </c>
      <c r="O27" s="14" t="n"/>
      <c r="P27" s="15">
        <f>IF(A27="","",N27-O27)</f>
        <v/>
      </c>
      <c r="Q27" s="10" t="n"/>
      <c r="R27" s="10" t="n"/>
      <c r="S27" s="16">
        <f>IF(ISNUMBER(D27),D27+TIME(3,0,0),"")</f>
        <v/>
      </c>
      <c r="T27" s="10" t="n"/>
      <c r="U27" s="17">
        <f>IF(OR(B27="",COUNT(D27:E27)&lt;2,E27&lt;D27,F27="Отменена"),0,MAX(0,MIN(E27,Сводка!$B$4)-MAX(D27,Сводка!$B$2)))</f>
        <v/>
      </c>
    </row>
    <row r="28">
      <c r="A28" s="9" t="n"/>
      <c r="B28" s="10" t="n"/>
      <c r="C28" s="10" t="n"/>
      <c r="D28" s="11" t="n"/>
      <c r="E28" s="11" t="n"/>
      <c r="F28" s="10" t="n"/>
      <c r="G28" s="12">
        <f>IF(B28="","",IF(OR(COUNT(D28:E28)&lt;2,E28&lt;D28),"Проверьте даты",IF(OR(F28="Отменена",F28="Возвращена"),"",IF(SUMPRODUCT(($B$2:$B$500=B28)*($D$2:$D$500&lt;=E28)*($E$2:$E$500&gt;=D28)*($F$2:$F$500&lt;&gt;"Отменена")*($F$2:$F$500&lt;&gt;"Возвращена"))&gt;1,"Пересечение","ОК"))))</f>
        <v/>
      </c>
      <c r="H28" s="12">
        <f>IF(OR(B28="",D28=""),"",IF(AND(OR(F28="Выдана",F28="Возвращена"),SUMPRODUCT(($B$2:$B$500=B28)*($D$2:$D$500=D28)*(($F$2:$F$500="Выдана")+($F$2:$F$500="Возвращена")))&gt;1),"Дубль",""))</f>
        <v/>
      </c>
      <c r="I28" s="13">
        <f>IF(OR(B28="",COUNT(D28:E28)&lt;2,E28&lt;D28),"",IF(Настройки!$B$6=Настройки!$M$3,INT(E28)-INT(D28)+1,ROUNDUP(ROUND((E28-D28)*24,2)/24,0)))</f>
        <v/>
      </c>
      <c r="J28" s="14" t="n"/>
      <c r="K28" s="15">
        <f>IF(OR(I28="",J28=""),"",IF(F28="Отменена",0,ROUND(I28*J28,2)))</f>
        <v/>
      </c>
      <c r="L28" s="15">
        <f>IF(K28="","",ROUND(K28*Настройки!$B$5,2))</f>
        <v/>
      </c>
      <c r="M28" s="15">
        <f>IF(A28="","",SUMIFS(Начисления!$M$2:$M$1000,Начисления!$F$2:$F$1000,A28))</f>
        <v/>
      </c>
      <c r="N28" s="15">
        <f>IF(A28="","",SUM(K28:M28))</f>
        <v/>
      </c>
      <c r="O28" s="14" t="n"/>
      <c r="P28" s="15">
        <f>IF(A28="","",N28-O28)</f>
        <v/>
      </c>
      <c r="Q28" s="10" t="n"/>
      <c r="R28" s="10" t="n"/>
      <c r="S28" s="16">
        <f>IF(ISNUMBER(D28),D28+TIME(3,0,0),"")</f>
        <v/>
      </c>
      <c r="T28" s="10" t="n"/>
      <c r="U28" s="17">
        <f>IF(OR(B28="",COUNT(D28:E28)&lt;2,E28&lt;D28,F28="Отменена"),0,MAX(0,MIN(E28,Сводка!$B$4)-MAX(D28,Сводка!$B$2)))</f>
        <v/>
      </c>
    </row>
    <row r="29">
      <c r="A29" s="9" t="n"/>
      <c r="B29" s="10" t="n"/>
      <c r="C29" s="10" t="n"/>
      <c r="D29" s="11" t="n"/>
      <c r="E29" s="11" t="n"/>
      <c r="F29" s="10" t="n"/>
      <c r="G29" s="12">
        <f>IF(B29="","",IF(OR(COUNT(D29:E29)&lt;2,E29&lt;D29),"Проверьте даты",IF(OR(F29="Отменена",F29="Возвращена"),"",IF(SUMPRODUCT(($B$2:$B$500=B29)*($D$2:$D$500&lt;=E29)*($E$2:$E$500&gt;=D29)*($F$2:$F$500&lt;&gt;"Отменена")*($F$2:$F$500&lt;&gt;"Возвращена"))&gt;1,"Пересечение","ОК"))))</f>
        <v/>
      </c>
      <c r="H29" s="12">
        <f>IF(OR(B29="",D29=""),"",IF(AND(OR(F29="Выдана",F29="Возвращена"),SUMPRODUCT(($B$2:$B$500=B29)*($D$2:$D$500=D29)*(($F$2:$F$500="Выдана")+($F$2:$F$500="Возвращена")))&gt;1),"Дубль",""))</f>
        <v/>
      </c>
      <c r="I29" s="13">
        <f>IF(OR(B29="",COUNT(D29:E29)&lt;2,E29&lt;D29),"",IF(Настройки!$B$6=Настройки!$M$3,INT(E29)-INT(D29)+1,ROUNDUP(ROUND((E29-D29)*24,2)/24,0)))</f>
        <v/>
      </c>
      <c r="J29" s="14" t="n"/>
      <c r="K29" s="15">
        <f>IF(OR(I29="",J29=""),"",IF(F29="Отменена",0,ROUND(I29*J29,2)))</f>
        <v/>
      </c>
      <c r="L29" s="15">
        <f>IF(K29="","",ROUND(K29*Настройки!$B$5,2))</f>
        <v/>
      </c>
      <c r="M29" s="15">
        <f>IF(A29="","",SUMIFS(Начисления!$M$2:$M$1000,Начисления!$F$2:$F$1000,A29))</f>
        <v/>
      </c>
      <c r="N29" s="15">
        <f>IF(A29="","",SUM(K29:M29))</f>
        <v/>
      </c>
      <c r="O29" s="14" t="n"/>
      <c r="P29" s="15">
        <f>IF(A29="","",N29-O29)</f>
        <v/>
      </c>
      <c r="Q29" s="10" t="n"/>
      <c r="R29" s="10" t="n"/>
      <c r="S29" s="16">
        <f>IF(ISNUMBER(D29),D29+TIME(3,0,0),"")</f>
        <v/>
      </c>
      <c r="T29" s="10" t="n"/>
      <c r="U29" s="17">
        <f>IF(OR(B29="",COUNT(D29:E29)&lt;2,E29&lt;D29,F29="Отменена"),0,MAX(0,MIN(E29,Сводка!$B$4)-MAX(D29,Сводка!$B$2)))</f>
        <v/>
      </c>
    </row>
    <row r="30">
      <c r="A30" s="9" t="n"/>
      <c r="B30" s="10" t="n"/>
      <c r="C30" s="10" t="n"/>
      <c r="D30" s="11" t="n"/>
      <c r="E30" s="11" t="n"/>
      <c r="F30" s="10" t="n"/>
      <c r="G30" s="12">
        <f>IF(B30="","",IF(OR(COUNT(D30:E30)&lt;2,E30&lt;D30),"Проверьте даты",IF(OR(F30="Отменена",F30="Возвращена"),"",IF(SUMPRODUCT(($B$2:$B$500=B30)*($D$2:$D$500&lt;=E30)*($E$2:$E$500&gt;=D30)*($F$2:$F$500&lt;&gt;"Отменена")*($F$2:$F$500&lt;&gt;"Возвращена"))&gt;1,"Пересечение","ОК"))))</f>
        <v/>
      </c>
      <c r="H30" s="12">
        <f>IF(OR(B30="",D30=""),"",IF(AND(OR(F30="Выдана",F30="Возвращена"),SUMPRODUCT(($B$2:$B$500=B30)*($D$2:$D$500=D30)*(($F$2:$F$500="Выдана")+($F$2:$F$500="Возвращена")))&gt;1),"Дубль",""))</f>
        <v/>
      </c>
      <c r="I30" s="13">
        <f>IF(OR(B30="",COUNT(D30:E30)&lt;2,E30&lt;D30),"",IF(Настройки!$B$6=Настройки!$M$3,INT(E30)-INT(D30)+1,ROUNDUP(ROUND((E30-D30)*24,2)/24,0)))</f>
        <v/>
      </c>
      <c r="J30" s="14" t="n"/>
      <c r="K30" s="15">
        <f>IF(OR(I30="",J30=""),"",IF(F30="Отменена",0,ROUND(I30*J30,2)))</f>
        <v/>
      </c>
      <c r="L30" s="15">
        <f>IF(K30="","",ROUND(K30*Настройки!$B$5,2))</f>
        <v/>
      </c>
      <c r="M30" s="15">
        <f>IF(A30="","",SUMIFS(Начисления!$M$2:$M$1000,Начисления!$F$2:$F$1000,A30))</f>
        <v/>
      </c>
      <c r="N30" s="15">
        <f>IF(A30="","",SUM(K30:M30))</f>
        <v/>
      </c>
      <c r="O30" s="14" t="n"/>
      <c r="P30" s="15">
        <f>IF(A30="","",N30-O30)</f>
        <v/>
      </c>
      <c r="Q30" s="10" t="n"/>
      <c r="R30" s="10" t="n"/>
      <c r="S30" s="16">
        <f>IF(ISNUMBER(D30),D30+TIME(3,0,0),"")</f>
        <v/>
      </c>
      <c r="T30" s="10" t="n"/>
      <c r="U30" s="17">
        <f>IF(OR(B30="",COUNT(D30:E30)&lt;2,E30&lt;D30,F30="Отменена"),0,MAX(0,MIN(E30,Сводка!$B$4)-MAX(D30,Сводка!$B$2)))</f>
        <v/>
      </c>
    </row>
    <row r="31">
      <c r="A31" s="9" t="n"/>
      <c r="B31" s="10" t="n"/>
      <c r="C31" s="10" t="n"/>
      <c r="D31" s="11" t="n"/>
      <c r="E31" s="11" t="n"/>
      <c r="F31" s="10" t="n"/>
      <c r="G31" s="12">
        <f>IF(B31="","",IF(OR(COUNT(D31:E31)&lt;2,E31&lt;D31),"Проверьте даты",IF(OR(F31="Отменена",F31="Возвращена"),"",IF(SUMPRODUCT(($B$2:$B$500=B31)*($D$2:$D$500&lt;=E31)*($E$2:$E$500&gt;=D31)*($F$2:$F$500&lt;&gt;"Отменена")*($F$2:$F$500&lt;&gt;"Возвращена"))&gt;1,"Пересечение","ОК"))))</f>
        <v/>
      </c>
      <c r="H31" s="12">
        <f>IF(OR(B31="",D31=""),"",IF(AND(OR(F31="Выдана",F31="Возвращена"),SUMPRODUCT(($B$2:$B$500=B31)*($D$2:$D$500=D31)*(($F$2:$F$500="Выдана")+($F$2:$F$500="Возвращена")))&gt;1),"Дубль",""))</f>
        <v/>
      </c>
      <c r="I31" s="13">
        <f>IF(OR(B31="",COUNT(D31:E31)&lt;2,E31&lt;D31),"",IF(Настройки!$B$6=Настройки!$M$3,INT(E31)-INT(D31)+1,ROUNDUP(ROUND((E31-D31)*24,2)/24,0)))</f>
        <v/>
      </c>
      <c r="J31" s="14" t="n"/>
      <c r="K31" s="15">
        <f>IF(OR(I31="",J31=""),"",IF(F31="Отменена",0,ROUND(I31*J31,2)))</f>
        <v/>
      </c>
      <c r="L31" s="15">
        <f>IF(K31="","",ROUND(K31*Настройки!$B$5,2))</f>
        <v/>
      </c>
      <c r="M31" s="15">
        <f>IF(A31="","",SUMIFS(Начисления!$M$2:$M$1000,Начисления!$F$2:$F$1000,A31))</f>
        <v/>
      </c>
      <c r="N31" s="15">
        <f>IF(A31="","",SUM(K31:M31))</f>
        <v/>
      </c>
      <c r="O31" s="14" t="n"/>
      <c r="P31" s="15">
        <f>IF(A31="","",N31-O31)</f>
        <v/>
      </c>
      <c r="Q31" s="10" t="n"/>
      <c r="R31" s="10" t="n"/>
      <c r="S31" s="16">
        <f>IF(ISNUMBER(D31),D31+TIME(3,0,0),"")</f>
        <v/>
      </c>
      <c r="T31" s="10" t="n"/>
      <c r="U31" s="17">
        <f>IF(OR(B31="",COUNT(D31:E31)&lt;2,E31&lt;D31,F31="Отменена"),0,MAX(0,MIN(E31,Сводка!$B$4)-MAX(D31,Сводка!$B$2)))</f>
        <v/>
      </c>
    </row>
    <row r="32">
      <c r="A32" s="9" t="n"/>
      <c r="B32" s="10" t="n"/>
      <c r="C32" s="10" t="n"/>
      <c r="D32" s="11" t="n"/>
      <c r="E32" s="11" t="n"/>
      <c r="F32" s="10" t="n"/>
      <c r="G32" s="12">
        <f>IF(B32="","",IF(OR(COUNT(D32:E32)&lt;2,E32&lt;D32),"Проверьте даты",IF(OR(F32="Отменена",F32="Возвращена"),"",IF(SUMPRODUCT(($B$2:$B$500=B32)*($D$2:$D$500&lt;=E32)*($E$2:$E$500&gt;=D32)*($F$2:$F$500&lt;&gt;"Отменена")*($F$2:$F$500&lt;&gt;"Возвращена"))&gt;1,"Пересечение","ОК"))))</f>
        <v/>
      </c>
      <c r="H32" s="12">
        <f>IF(OR(B32="",D32=""),"",IF(AND(OR(F32="Выдана",F32="Возвращена"),SUMPRODUCT(($B$2:$B$500=B32)*($D$2:$D$500=D32)*(($F$2:$F$500="Выдана")+($F$2:$F$500="Возвращена")))&gt;1),"Дубль",""))</f>
        <v/>
      </c>
      <c r="I32" s="13">
        <f>IF(OR(B32="",COUNT(D32:E32)&lt;2,E32&lt;D32),"",IF(Настройки!$B$6=Настройки!$M$3,INT(E32)-INT(D32)+1,ROUNDUP(ROUND((E32-D32)*24,2)/24,0)))</f>
        <v/>
      </c>
      <c r="J32" s="14" t="n"/>
      <c r="K32" s="15">
        <f>IF(OR(I32="",J32=""),"",IF(F32="Отменена",0,ROUND(I32*J32,2)))</f>
        <v/>
      </c>
      <c r="L32" s="15">
        <f>IF(K32="","",ROUND(K32*Настройки!$B$5,2))</f>
        <v/>
      </c>
      <c r="M32" s="15">
        <f>IF(A32="","",SUMIFS(Начисления!$M$2:$M$1000,Начисления!$F$2:$F$1000,A32))</f>
        <v/>
      </c>
      <c r="N32" s="15">
        <f>IF(A32="","",SUM(K32:M32))</f>
        <v/>
      </c>
      <c r="O32" s="14" t="n"/>
      <c r="P32" s="15">
        <f>IF(A32="","",N32-O32)</f>
        <v/>
      </c>
      <c r="Q32" s="10" t="n"/>
      <c r="R32" s="10" t="n"/>
      <c r="S32" s="16">
        <f>IF(ISNUMBER(D32),D32+TIME(3,0,0),"")</f>
        <v/>
      </c>
      <c r="T32" s="10" t="n"/>
      <c r="U32" s="17">
        <f>IF(OR(B32="",COUNT(D32:E32)&lt;2,E32&lt;D32,F32="Отменена"),0,MAX(0,MIN(E32,Сводка!$B$4)-MAX(D32,Сводка!$B$2)))</f>
        <v/>
      </c>
    </row>
    <row r="33">
      <c r="A33" s="9" t="n"/>
      <c r="B33" s="10" t="n"/>
      <c r="C33" s="10" t="n"/>
      <c r="D33" s="11" t="n"/>
      <c r="E33" s="11" t="n"/>
      <c r="F33" s="10" t="n"/>
      <c r="G33" s="12">
        <f>IF(B33="","",IF(OR(COUNT(D33:E33)&lt;2,E33&lt;D33),"Проверьте даты",IF(OR(F33="Отменена",F33="Возвращена"),"",IF(SUMPRODUCT(($B$2:$B$500=B33)*($D$2:$D$500&lt;=E33)*($E$2:$E$500&gt;=D33)*($F$2:$F$500&lt;&gt;"Отменена")*($F$2:$F$500&lt;&gt;"Возвращена"))&gt;1,"Пересечение","ОК"))))</f>
        <v/>
      </c>
      <c r="H33" s="12">
        <f>IF(OR(B33="",D33=""),"",IF(AND(OR(F33="Выдана",F33="Возвращена"),SUMPRODUCT(($B$2:$B$500=B33)*($D$2:$D$500=D33)*(($F$2:$F$500="Выдана")+($F$2:$F$500="Возвращена")))&gt;1),"Дубль",""))</f>
        <v/>
      </c>
      <c r="I33" s="13">
        <f>IF(OR(B33="",COUNT(D33:E33)&lt;2,E33&lt;D33),"",IF(Настройки!$B$6=Настройки!$M$3,INT(E33)-INT(D33)+1,ROUNDUP(ROUND((E33-D33)*24,2)/24,0)))</f>
        <v/>
      </c>
      <c r="J33" s="14" t="n"/>
      <c r="K33" s="15">
        <f>IF(OR(I33="",J33=""),"",IF(F33="Отменена",0,ROUND(I33*J33,2)))</f>
        <v/>
      </c>
      <c r="L33" s="15">
        <f>IF(K33="","",ROUND(K33*Настройки!$B$5,2))</f>
        <v/>
      </c>
      <c r="M33" s="15">
        <f>IF(A33="","",SUMIFS(Начисления!$M$2:$M$1000,Начисления!$F$2:$F$1000,A33))</f>
        <v/>
      </c>
      <c r="N33" s="15">
        <f>IF(A33="","",SUM(K33:M33))</f>
        <v/>
      </c>
      <c r="O33" s="14" t="n"/>
      <c r="P33" s="15">
        <f>IF(A33="","",N33-O33)</f>
        <v/>
      </c>
      <c r="Q33" s="10" t="n"/>
      <c r="R33" s="10" t="n"/>
      <c r="S33" s="16">
        <f>IF(ISNUMBER(D33),D33+TIME(3,0,0),"")</f>
        <v/>
      </c>
      <c r="T33" s="10" t="n"/>
      <c r="U33" s="17">
        <f>IF(OR(B33="",COUNT(D33:E33)&lt;2,E33&lt;D33,F33="Отменена"),0,MAX(0,MIN(E33,Сводка!$B$4)-MAX(D33,Сводка!$B$2)))</f>
        <v/>
      </c>
    </row>
    <row r="34">
      <c r="A34" s="9" t="n"/>
      <c r="B34" s="10" t="n"/>
      <c r="C34" s="10" t="n"/>
      <c r="D34" s="11" t="n"/>
      <c r="E34" s="11" t="n"/>
      <c r="F34" s="10" t="n"/>
      <c r="G34" s="12">
        <f>IF(B34="","",IF(OR(COUNT(D34:E34)&lt;2,E34&lt;D34),"Проверьте даты",IF(OR(F34="Отменена",F34="Возвращена"),"",IF(SUMPRODUCT(($B$2:$B$500=B34)*($D$2:$D$500&lt;=E34)*($E$2:$E$500&gt;=D34)*($F$2:$F$500&lt;&gt;"Отменена")*($F$2:$F$500&lt;&gt;"Возвращена"))&gt;1,"Пересечение","ОК"))))</f>
        <v/>
      </c>
      <c r="H34" s="12">
        <f>IF(OR(B34="",D34=""),"",IF(AND(OR(F34="Выдана",F34="Возвращена"),SUMPRODUCT(($B$2:$B$500=B34)*($D$2:$D$500=D34)*(($F$2:$F$500="Выдана")+($F$2:$F$500="Возвращена")))&gt;1),"Дубль",""))</f>
        <v/>
      </c>
      <c r="I34" s="13">
        <f>IF(OR(B34="",COUNT(D34:E34)&lt;2,E34&lt;D34),"",IF(Настройки!$B$6=Настройки!$M$3,INT(E34)-INT(D34)+1,ROUNDUP(ROUND((E34-D34)*24,2)/24,0)))</f>
        <v/>
      </c>
      <c r="J34" s="14" t="n"/>
      <c r="K34" s="15">
        <f>IF(OR(I34="",J34=""),"",IF(F34="Отменена",0,ROUND(I34*J34,2)))</f>
        <v/>
      </c>
      <c r="L34" s="15">
        <f>IF(K34="","",ROUND(K34*Настройки!$B$5,2))</f>
        <v/>
      </c>
      <c r="M34" s="15">
        <f>IF(A34="","",SUMIFS(Начисления!$M$2:$M$1000,Начисления!$F$2:$F$1000,A34))</f>
        <v/>
      </c>
      <c r="N34" s="15">
        <f>IF(A34="","",SUM(K34:M34))</f>
        <v/>
      </c>
      <c r="O34" s="14" t="n"/>
      <c r="P34" s="15">
        <f>IF(A34="","",N34-O34)</f>
        <v/>
      </c>
      <c r="Q34" s="10" t="n"/>
      <c r="R34" s="10" t="n"/>
      <c r="S34" s="16">
        <f>IF(ISNUMBER(D34),D34+TIME(3,0,0),"")</f>
        <v/>
      </c>
      <c r="T34" s="10" t="n"/>
      <c r="U34" s="17">
        <f>IF(OR(B34="",COUNT(D34:E34)&lt;2,E34&lt;D34,F34="Отменена"),0,MAX(0,MIN(E34,Сводка!$B$4)-MAX(D34,Сводка!$B$2)))</f>
        <v/>
      </c>
    </row>
    <row r="35">
      <c r="A35" s="9" t="n"/>
      <c r="B35" s="10" t="n"/>
      <c r="C35" s="10" t="n"/>
      <c r="D35" s="11" t="n"/>
      <c r="E35" s="11" t="n"/>
      <c r="F35" s="10" t="n"/>
      <c r="G35" s="12">
        <f>IF(B35="","",IF(OR(COUNT(D35:E35)&lt;2,E35&lt;D35),"Проверьте даты",IF(OR(F35="Отменена",F35="Возвращена"),"",IF(SUMPRODUCT(($B$2:$B$500=B35)*($D$2:$D$500&lt;=E35)*($E$2:$E$500&gt;=D35)*($F$2:$F$500&lt;&gt;"Отменена")*($F$2:$F$500&lt;&gt;"Возвращена"))&gt;1,"Пересечение","ОК"))))</f>
        <v/>
      </c>
      <c r="H35" s="12">
        <f>IF(OR(B35="",D35=""),"",IF(AND(OR(F35="Выдана",F35="Возвращена"),SUMPRODUCT(($B$2:$B$500=B35)*($D$2:$D$500=D35)*(($F$2:$F$500="Выдана")+($F$2:$F$500="Возвращена")))&gt;1),"Дубль",""))</f>
        <v/>
      </c>
      <c r="I35" s="13">
        <f>IF(OR(B35="",COUNT(D35:E35)&lt;2,E35&lt;D35),"",IF(Настройки!$B$6=Настройки!$M$3,INT(E35)-INT(D35)+1,ROUNDUP(ROUND((E35-D35)*24,2)/24,0)))</f>
        <v/>
      </c>
      <c r="J35" s="14" t="n"/>
      <c r="K35" s="15">
        <f>IF(OR(I35="",J35=""),"",IF(F35="Отменена",0,ROUND(I35*J35,2)))</f>
        <v/>
      </c>
      <c r="L35" s="15">
        <f>IF(K35="","",ROUND(K35*Настройки!$B$5,2))</f>
        <v/>
      </c>
      <c r="M35" s="15">
        <f>IF(A35="","",SUMIFS(Начисления!$M$2:$M$1000,Начисления!$F$2:$F$1000,A35))</f>
        <v/>
      </c>
      <c r="N35" s="15">
        <f>IF(A35="","",SUM(K35:M35))</f>
        <v/>
      </c>
      <c r="O35" s="14" t="n"/>
      <c r="P35" s="15">
        <f>IF(A35="","",N35-O35)</f>
        <v/>
      </c>
      <c r="Q35" s="10" t="n"/>
      <c r="R35" s="10" t="n"/>
      <c r="S35" s="16">
        <f>IF(ISNUMBER(D35),D35+TIME(3,0,0),"")</f>
        <v/>
      </c>
      <c r="T35" s="10" t="n"/>
      <c r="U35" s="17">
        <f>IF(OR(B35="",COUNT(D35:E35)&lt;2,E35&lt;D35,F35="Отменена"),0,MAX(0,MIN(E35,Сводка!$B$4)-MAX(D35,Сводка!$B$2)))</f>
        <v/>
      </c>
    </row>
    <row r="36">
      <c r="A36" s="9" t="n"/>
      <c r="B36" s="10" t="n"/>
      <c r="C36" s="10" t="n"/>
      <c r="D36" s="11" t="n"/>
      <c r="E36" s="11" t="n"/>
      <c r="F36" s="10" t="n"/>
      <c r="G36" s="12">
        <f>IF(B36="","",IF(OR(COUNT(D36:E36)&lt;2,E36&lt;D36),"Проверьте даты",IF(OR(F36="Отменена",F36="Возвращена"),"",IF(SUMPRODUCT(($B$2:$B$500=B36)*($D$2:$D$500&lt;=E36)*($E$2:$E$500&gt;=D36)*($F$2:$F$500&lt;&gt;"Отменена")*($F$2:$F$500&lt;&gt;"Возвращена"))&gt;1,"Пересечение","ОК"))))</f>
        <v/>
      </c>
      <c r="H36" s="12">
        <f>IF(OR(B36="",D36=""),"",IF(AND(OR(F36="Выдана",F36="Возвращена"),SUMPRODUCT(($B$2:$B$500=B36)*($D$2:$D$500=D36)*(($F$2:$F$500="Выдана")+($F$2:$F$500="Возвращена")))&gt;1),"Дубль",""))</f>
        <v/>
      </c>
      <c r="I36" s="13">
        <f>IF(OR(B36="",COUNT(D36:E36)&lt;2,E36&lt;D36),"",IF(Настройки!$B$6=Настройки!$M$3,INT(E36)-INT(D36)+1,ROUNDUP(ROUND((E36-D36)*24,2)/24,0)))</f>
        <v/>
      </c>
      <c r="J36" s="14" t="n"/>
      <c r="K36" s="15">
        <f>IF(OR(I36="",J36=""),"",IF(F36="Отменена",0,ROUND(I36*J36,2)))</f>
        <v/>
      </c>
      <c r="L36" s="15">
        <f>IF(K36="","",ROUND(K36*Настройки!$B$5,2))</f>
        <v/>
      </c>
      <c r="M36" s="15">
        <f>IF(A36="","",SUMIFS(Начисления!$M$2:$M$1000,Начисления!$F$2:$F$1000,A36))</f>
        <v/>
      </c>
      <c r="N36" s="15">
        <f>IF(A36="","",SUM(K36:M36))</f>
        <v/>
      </c>
      <c r="O36" s="14" t="n"/>
      <c r="P36" s="15">
        <f>IF(A36="","",N36-O36)</f>
        <v/>
      </c>
      <c r="Q36" s="10" t="n"/>
      <c r="R36" s="10" t="n"/>
      <c r="S36" s="16">
        <f>IF(ISNUMBER(D36),D36+TIME(3,0,0),"")</f>
        <v/>
      </c>
      <c r="T36" s="10" t="n"/>
      <c r="U36" s="17">
        <f>IF(OR(B36="",COUNT(D36:E36)&lt;2,E36&lt;D36,F36="Отменена"),0,MAX(0,MIN(E36,Сводка!$B$4)-MAX(D36,Сводка!$B$2)))</f>
        <v/>
      </c>
    </row>
    <row r="37">
      <c r="A37" s="9" t="n"/>
      <c r="B37" s="10" t="n"/>
      <c r="C37" s="10" t="n"/>
      <c r="D37" s="11" t="n"/>
      <c r="E37" s="11" t="n"/>
      <c r="F37" s="10" t="n"/>
      <c r="G37" s="12">
        <f>IF(B37="","",IF(OR(COUNT(D37:E37)&lt;2,E37&lt;D37),"Проверьте даты",IF(OR(F37="Отменена",F37="Возвращена"),"",IF(SUMPRODUCT(($B$2:$B$500=B37)*($D$2:$D$500&lt;=E37)*($E$2:$E$500&gt;=D37)*($F$2:$F$500&lt;&gt;"Отменена")*($F$2:$F$500&lt;&gt;"Возвращена"))&gt;1,"Пересечение","ОК"))))</f>
        <v/>
      </c>
      <c r="H37" s="12">
        <f>IF(OR(B37="",D37=""),"",IF(AND(OR(F37="Выдана",F37="Возвращена"),SUMPRODUCT(($B$2:$B$500=B37)*($D$2:$D$500=D37)*(($F$2:$F$500="Выдана")+($F$2:$F$500="Возвращена")))&gt;1),"Дубль",""))</f>
        <v/>
      </c>
      <c r="I37" s="13">
        <f>IF(OR(B37="",COUNT(D37:E37)&lt;2,E37&lt;D37),"",IF(Настройки!$B$6=Настройки!$M$3,INT(E37)-INT(D37)+1,ROUNDUP(ROUND((E37-D37)*24,2)/24,0)))</f>
        <v/>
      </c>
      <c r="J37" s="14" t="n"/>
      <c r="K37" s="15">
        <f>IF(OR(I37="",J37=""),"",IF(F37="Отменена",0,ROUND(I37*J37,2)))</f>
        <v/>
      </c>
      <c r="L37" s="15">
        <f>IF(K37="","",ROUND(K37*Настройки!$B$5,2))</f>
        <v/>
      </c>
      <c r="M37" s="15">
        <f>IF(A37="","",SUMIFS(Начисления!$M$2:$M$1000,Начисления!$F$2:$F$1000,A37))</f>
        <v/>
      </c>
      <c r="N37" s="15">
        <f>IF(A37="","",SUM(K37:M37))</f>
        <v/>
      </c>
      <c r="O37" s="14" t="n"/>
      <c r="P37" s="15">
        <f>IF(A37="","",N37-O37)</f>
        <v/>
      </c>
      <c r="Q37" s="10" t="n"/>
      <c r="R37" s="10" t="n"/>
      <c r="S37" s="16">
        <f>IF(ISNUMBER(D37),D37+TIME(3,0,0),"")</f>
        <v/>
      </c>
      <c r="T37" s="10" t="n"/>
      <c r="U37" s="17">
        <f>IF(OR(B37="",COUNT(D37:E37)&lt;2,E37&lt;D37,F37="Отменена"),0,MAX(0,MIN(E37,Сводка!$B$4)-MAX(D37,Сводка!$B$2)))</f>
        <v/>
      </c>
    </row>
    <row r="38">
      <c r="A38" s="9" t="n"/>
      <c r="B38" s="10" t="n"/>
      <c r="C38" s="10" t="n"/>
      <c r="D38" s="11" t="n"/>
      <c r="E38" s="11" t="n"/>
      <c r="F38" s="10" t="n"/>
      <c r="G38" s="12">
        <f>IF(B38="","",IF(OR(COUNT(D38:E38)&lt;2,E38&lt;D38),"Проверьте даты",IF(OR(F38="Отменена",F38="Возвращена"),"",IF(SUMPRODUCT(($B$2:$B$500=B38)*($D$2:$D$500&lt;=E38)*($E$2:$E$500&gt;=D38)*($F$2:$F$500&lt;&gt;"Отменена")*($F$2:$F$500&lt;&gt;"Возвращена"))&gt;1,"Пересечение","ОК"))))</f>
        <v/>
      </c>
      <c r="H38" s="12">
        <f>IF(OR(B38="",D38=""),"",IF(AND(OR(F38="Выдана",F38="Возвращена"),SUMPRODUCT(($B$2:$B$500=B38)*($D$2:$D$500=D38)*(($F$2:$F$500="Выдана")+($F$2:$F$500="Возвращена")))&gt;1),"Дубль",""))</f>
        <v/>
      </c>
      <c r="I38" s="13">
        <f>IF(OR(B38="",COUNT(D38:E38)&lt;2,E38&lt;D38),"",IF(Настройки!$B$6=Настройки!$M$3,INT(E38)-INT(D38)+1,ROUNDUP(ROUND((E38-D38)*24,2)/24,0)))</f>
        <v/>
      </c>
      <c r="J38" s="14" t="n"/>
      <c r="K38" s="15">
        <f>IF(OR(I38="",J38=""),"",IF(F38="Отменена",0,ROUND(I38*J38,2)))</f>
        <v/>
      </c>
      <c r="L38" s="15">
        <f>IF(K38="","",ROUND(K38*Настройки!$B$5,2))</f>
        <v/>
      </c>
      <c r="M38" s="15">
        <f>IF(A38="","",SUMIFS(Начисления!$M$2:$M$1000,Начисления!$F$2:$F$1000,A38))</f>
        <v/>
      </c>
      <c r="N38" s="15">
        <f>IF(A38="","",SUM(K38:M38))</f>
        <v/>
      </c>
      <c r="O38" s="14" t="n"/>
      <c r="P38" s="15">
        <f>IF(A38="","",N38-O38)</f>
        <v/>
      </c>
      <c r="Q38" s="10" t="n"/>
      <c r="R38" s="10" t="n"/>
      <c r="S38" s="16">
        <f>IF(ISNUMBER(D38),D38+TIME(3,0,0),"")</f>
        <v/>
      </c>
      <c r="T38" s="10" t="n"/>
      <c r="U38" s="17">
        <f>IF(OR(B38="",COUNT(D38:E38)&lt;2,E38&lt;D38,F38="Отменена"),0,MAX(0,MIN(E38,Сводка!$B$4)-MAX(D38,Сводка!$B$2)))</f>
        <v/>
      </c>
    </row>
    <row r="39">
      <c r="A39" s="9" t="n"/>
      <c r="B39" s="10" t="n"/>
      <c r="C39" s="10" t="n"/>
      <c r="D39" s="11" t="n"/>
      <c r="E39" s="11" t="n"/>
      <c r="F39" s="10" t="n"/>
      <c r="G39" s="12">
        <f>IF(B39="","",IF(OR(COUNT(D39:E39)&lt;2,E39&lt;D39),"Проверьте даты",IF(OR(F39="Отменена",F39="Возвращена"),"",IF(SUMPRODUCT(($B$2:$B$500=B39)*($D$2:$D$500&lt;=E39)*($E$2:$E$500&gt;=D39)*($F$2:$F$500&lt;&gt;"Отменена")*($F$2:$F$500&lt;&gt;"Возвращена"))&gt;1,"Пересечение","ОК"))))</f>
        <v/>
      </c>
      <c r="H39" s="12">
        <f>IF(OR(B39="",D39=""),"",IF(AND(OR(F39="Выдана",F39="Возвращена"),SUMPRODUCT(($B$2:$B$500=B39)*($D$2:$D$500=D39)*(($F$2:$F$500="Выдана")+($F$2:$F$500="Возвращена")))&gt;1),"Дубль",""))</f>
        <v/>
      </c>
      <c r="I39" s="13">
        <f>IF(OR(B39="",COUNT(D39:E39)&lt;2,E39&lt;D39),"",IF(Настройки!$B$6=Настройки!$M$3,INT(E39)-INT(D39)+1,ROUNDUP(ROUND((E39-D39)*24,2)/24,0)))</f>
        <v/>
      </c>
      <c r="J39" s="14" t="n"/>
      <c r="K39" s="15">
        <f>IF(OR(I39="",J39=""),"",IF(F39="Отменена",0,ROUND(I39*J39,2)))</f>
        <v/>
      </c>
      <c r="L39" s="15">
        <f>IF(K39="","",ROUND(K39*Настройки!$B$5,2))</f>
        <v/>
      </c>
      <c r="M39" s="15">
        <f>IF(A39="","",SUMIFS(Начисления!$M$2:$M$1000,Начисления!$F$2:$F$1000,A39))</f>
        <v/>
      </c>
      <c r="N39" s="15">
        <f>IF(A39="","",SUM(K39:M39))</f>
        <v/>
      </c>
      <c r="O39" s="14" t="n"/>
      <c r="P39" s="15">
        <f>IF(A39="","",N39-O39)</f>
        <v/>
      </c>
      <c r="Q39" s="10" t="n"/>
      <c r="R39" s="10" t="n"/>
      <c r="S39" s="16">
        <f>IF(ISNUMBER(D39),D39+TIME(3,0,0),"")</f>
        <v/>
      </c>
      <c r="T39" s="10" t="n"/>
      <c r="U39" s="17">
        <f>IF(OR(B39="",COUNT(D39:E39)&lt;2,E39&lt;D39,F39="Отменена"),0,MAX(0,MIN(E39,Сводка!$B$4)-MAX(D39,Сводка!$B$2)))</f>
        <v/>
      </c>
    </row>
    <row r="40">
      <c r="A40" s="9" t="n"/>
      <c r="B40" s="10" t="n"/>
      <c r="C40" s="10" t="n"/>
      <c r="D40" s="11" t="n"/>
      <c r="E40" s="11" t="n"/>
      <c r="F40" s="10" t="n"/>
      <c r="G40" s="12">
        <f>IF(B40="","",IF(OR(COUNT(D40:E40)&lt;2,E40&lt;D40),"Проверьте даты",IF(OR(F40="Отменена",F40="Возвращена"),"",IF(SUMPRODUCT(($B$2:$B$500=B40)*($D$2:$D$500&lt;=E40)*($E$2:$E$500&gt;=D40)*($F$2:$F$500&lt;&gt;"Отменена")*($F$2:$F$500&lt;&gt;"Возвращена"))&gt;1,"Пересечение","ОК"))))</f>
        <v/>
      </c>
      <c r="H40" s="12">
        <f>IF(OR(B40="",D40=""),"",IF(AND(OR(F40="Выдана",F40="Возвращена"),SUMPRODUCT(($B$2:$B$500=B40)*($D$2:$D$500=D40)*(($F$2:$F$500="Выдана")+($F$2:$F$500="Возвращена")))&gt;1),"Дубль",""))</f>
        <v/>
      </c>
      <c r="I40" s="13">
        <f>IF(OR(B40="",COUNT(D40:E40)&lt;2,E40&lt;D40),"",IF(Настройки!$B$6=Настройки!$M$3,INT(E40)-INT(D40)+1,ROUNDUP(ROUND((E40-D40)*24,2)/24,0)))</f>
        <v/>
      </c>
      <c r="J40" s="14" t="n"/>
      <c r="K40" s="15">
        <f>IF(OR(I40="",J40=""),"",IF(F40="Отменена",0,ROUND(I40*J40,2)))</f>
        <v/>
      </c>
      <c r="L40" s="15">
        <f>IF(K40="","",ROUND(K40*Настройки!$B$5,2))</f>
        <v/>
      </c>
      <c r="M40" s="15">
        <f>IF(A40="","",SUMIFS(Начисления!$M$2:$M$1000,Начисления!$F$2:$F$1000,A40))</f>
        <v/>
      </c>
      <c r="N40" s="15">
        <f>IF(A40="","",SUM(K40:M40))</f>
        <v/>
      </c>
      <c r="O40" s="14" t="n"/>
      <c r="P40" s="15">
        <f>IF(A40="","",N40-O40)</f>
        <v/>
      </c>
      <c r="Q40" s="10" t="n"/>
      <c r="R40" s="10" t="n"/>
      <c r="S40" s="16">
        <f>IF(ISNUMBER(D40),D40+TIME(3,0,0),"")</f>
        <v/>
      </c>
      <c r="T40" s="10" t="n"/>
      <c r="U40" s="17">
        <f>IF(OR(B40="",COUNT(D40:E40)&lt;2,E40&lt;D40,F40="Отменена"),0,MAX(0,MIN(E40,Сводка!$B$4)-MAX(D40,Сводка!$B$2)))</f>
        <v/>
      </c>
    </row>
    <row r="41">
      <c r="A41" s="9" t="n"/>
      <c r="B41" s="10" t="n"/>
      <c r="C41" s="10" t="n"/>
      <c r="D41" s="11" t="n"/>
      <c r="E41" s="11" t="n"/>
      <c r="F41" s="10" t="n"/>
      <c r="G41" s="12">
        <f>IF(B41="","",IF(OR(COUNT(D41:E41)&lt;2,E41&lt;D41),"Проверьте даты",IF(OR(F41="Отменена",F41="Возвращена"),"",IF(SUMPRODUCT(($B$2:$B$500=B41)*($D$2:$D$500&lt;=E41)*($E$2:$E$500&gt;=D41)*($F$2:$F$500&lt;&gt;"Отменена")*($F$2:$F$500&lt;&gt;"Возвращена"))&gt;1,"Пересечение","ОК"))))</f>
        <v/>
      </c>
      <c r="H41" s="12">
        <f>IF(OR(B41="",D41=""),"",IF(AND(OR(F41="Выдана",F41="Возвращена"),SUMPRODUCT(($B$2:$B$500=B41)*($D$2:$D$500=D41)*(($F$2:$F$500="Выдана")+($F$2:$F$500="Возвращена")))&gt;1),"Дубль",""))</f>
        <v/>
      </c>
      <c r="I41" s="13">
        <f>IF(OR(B41="",COUNT(D41:E41)&lt;2,E41&lt;D41),"",IF(Настройки!$B$6=Настройки!$M$3,INT(E41)-INT(D41)+1,ROUNDUP(ROUND((E41-D41)*24,2)/24,0)))</f>
        <v/>
      </c>
      <c r="J41" s="14" t="n"/>
      <c r="K41" s="15">
        <f>IF(OR(I41="",J41=""),"",IF(F41="Отменена",0,ROUND(I41*J41,2)))</f>
        <v/>
      </c>
      <c r="L41" s="15">
        <f>IF(K41="","",ROUND(K41*Настройки!$B$5,2))</f>
        <v/>
      </c>
      <c r="M41" s="15">
        <f>IF(A41="","",SUMIFS(Начисления!$M$2:$M$1000,Начисления!$F$2:$F$1000,A41))</f>
        <v/>
      </c>
      <c r="N41" s="15">
        <f>IF(A41="","",SUM(K41:M41))</f>
        <v/>
      </c>
      <c r="O41" s="14" t="n"/>
      <c r="P41" s="15">
        <f>IF(A41="","",N41-O41)</f>
        <v/>
      </c>
      <c r="Q41" s="10" t="n"/>
      <c r="R41" s="10" t="n"/>
      <c r="S41" s="16">
        <f>IF(ISNUMBER(D41),D41+TIME(3,0,0),"")</f>
        <v/>
      </c>
      <c r="T41" s="10" t="n"/>
      <c r="U41" s="17">
        <f>IF(OR(B41="",COUNT(D41:E41)&lt;2,E41&lt;D41,F41="Отменена"),0,MAX(0,MIN(E41,Сводка!$B$4)-MAX(D41,Сводка!$B$2)))</f>
        <v/>
      </c>
    </row>
    <row r="42">
      <c r="A42" s="9" t="n"/>
      <c r="B42" s="10" t="n"/>
      <c r="C42" s="10" t="n"/>
      <c r="D42" s="11" t="n"/>
      <c r="E42" s="11" t="n"/>
      <c r="F42" s="10" t="n"/>
      <c r="G42" s="12">
        <f>IF(B42="","",IF(OR(COUNT(D42:E42)&lt;2,E42&lt;D42),"Проверьте даты",IF(OR(F42="Отменена",F42="Возвращена"),"",IF(SUMPRODUCT(($B$2:$B$500=B42)*($D$2:$D$500&lt;=E42)*($E$2:$E$500&gt;=D42)*($F$2:$F$500&lt;&gt;"Отменена")*($F$2:$F$500&lt;&gt;"Возвращена"))&gt;1,"Пересечение","ОК"))))</f>
        <v/>
      </c>
      <c r="H42" s="12">
        <f>IF(OR(B42="",D42=""),"",IF(AND(OR(F42="Выдана",F42="Возвращена"),SUMPRODUCT(($B$2:$B$500=B42)*($D$2:$D$500=D42)*(($F$2:$F$500="Выдана")+($F$2:$F$500="Возвращена")))&gt;1),"Дубль",""))</f>
        <v/>
      </c>
      <c r="I42" s="13">
        <f>IF(OR(B42="",COUNT(D42:E42)&lt;2,E42&lt;D42),"",IF(Настройки!$B$6=Настройки!$M$3,INT(E42)-INT(D42)+1,ROUNDUP(ROUND((E42-D42)*24,2)/24,0)))</f>
        <v/>
      </c>
      <c r="J42" s="14" t="n"/>
      <c r="K42" s="15">
        <f>IF(OR(I42="",J42=""),"",IF(F42="Отменена",0,ROUND(I42*J42,2)))</f>
        <v/>
      </c>
      <c r="L42" s="15">
        <f>IF(K42="","",ROUND(K42*Настройки!$B$5,2))</f>
        <v/>
      </c>
      <c r="M42" s="15">
        <f>IF(A42="","",SUMIFS(Начисления!$M$2:$M$1000,Начисления!$F$2:$F$1000,A42))</f>
        <v/>
      </c>
      <c r="N42" s="15">
        <f>IF(A42="","",SUM(K42:M42))</f>
        <v/>
      </c>
      <c r="O42" s="14" t="n"/>
      <c r="P42" s="15">
        <f>IF(A42="","",N42-O42)</f>
        <v/>
      </c>
      <c r="Q42" s="10" t="n"/>
      <c r="R42" s="10" t="n"/>
      <c r="S42" s="16">
        <f>IF(ISNUMBER(D42),D42+TIME(3,0,0),"")</f>
        <v/>
      </c>
      <c r="T42" s="10" t="n"/>
      <c r="U42" s="17">
        <f>IF(OR(B42="",COUNT(D42:E42)&lt;2,E42&lt;D42,F42="Отменена"),0,MAX(0,MIN(E42,Сводка!$B$4)-MAX(D42,Сводка!$B$2)))</f>
        <v/>
      </c>
    </row>
    <row r="43">
      <c r="A43" s="9" t="n"/>
      <c r="B43" s="10" t="n"/>
      <c r="C43" s="10" t="n"/>
      <c r="D43" s="11" t="n"/>
      <c r="E43" s="11" t="n"/>
      <c r="F43" s="10" t="n"/>
      <c r="G43" s="12">
        <f>IF(B43="","",IF(OR(COUNT(D43:E43)&lt;2,E43&lt;D43),"Проверьте даты",IF(OR(F43="Отменена",F43="Возвращена"),"",IF(SUMPRODUCT(($B$2:$B$500=B43)*($D$2:$D$500&lt;=E43)*($E$2:$E$500&gt;=D43)*($F$2:$F$500&lt;&gt;"Отменена")*($F$2:$F$500&lt;&gt;"Возвращена"))&gt;1,"Пересечение","ОК"))))</f>
        <v/>
      </c>
      <c r="H43" s="12">
        <f>IF(OR(B43="",D43=""),"",IF(AND(OR(F43="Выдана",F43="Возвращена"),SUMPRODUCT(($B$2:$B$500=B43)*($D$2:$D$500=D43)*(($F$2:$F$500="Выдана")+($F$2:$F$500="Возвращена")))&gt;1),"Дубль",""))</f>
        <v/>
      </c>
      <c r="I43" s="13">
        <f>IF(OR(B43="",COUNT(D43:E43)&lt;2,E43&lt;D43),"",IF(Настройки!$B$6=Настройки!$M$3,INT(E43)-INT(D43)+1,ROUNDUP(ROUND((E43-D43)*24,2)/24,0)))</f>
        <v/>
      </c>
      <c r="J43" s="14" t="n"/>
      <c r="K43" s="15">
        <f>IF(OR(I43="",J43=""),"",IF(F43="Отменена",0,ROUND(I43*J43,2)))</f>
        <v/>
      </c>
      <c r="L43" s="15">
        <f>IF(K43="","",ROUND(K43*Настройки!$B$5,2))</f>
        <v/>
      </c>
      <c r="M43" s="15">
        <f>IF(A43="","",SUMIFS(Начисления!$M$2:$M$1000,Начисления!$F$2:$F$1000,A43))</f>
        <v/>
      </c>
      <c r="N43" s="15">
        <f>IF(A43="","",SUM(K43:M43))</f>
        <v/>
      </c>
      <c r="O43" s="14" t="n"/>
      <c r="P43" s="15">
        <f>IF(A43="","",N43-O43)</f>
        <v/>
      </c>
      <c r="Q43" s="10" t="n"/>
      <c r="R43" s="10" t="n"/>
      <c r="S43" s="16">
        <f>IF(ISNUMBER(D43),D43+TIME(3,0,0),"")</f>
        <v/>
      </c>
      <c r="T43" s="10" t="n"/>
      <c r="U43" s="17">
        <f>IF(OR(B43="",COUNT(D43:E43)&lt;2,E43&lt;D43,F43="Отменена"),0,MAX(0,MIN(E43,Сводка!$B$4)-MAX(D43,Сводка!$B$2)))</f>
        <v/>
      </c>
    </row>
    <row r="44">
      <c r="A44" s="9" t="n"/>
      <c r="B44" s="10" t="n"/>
      <c r="C44" s="10" t="n"/>
      <c r="D44" s="11" t="n"/>
      <c r="E44" s="11" t="n"/>
      <c r="F44" s="10" t="n"/>
      <c r="G44" s="12">
        <f>IF(B44="","",IF(OR(COUNT(D44:E44)&lt;2,E44&lt;D44),"Проверьте даты",IF(OR(F44="Отменена",F44="Возвращена"),"",IF(SUMPRODUCT(($B$2:$B$500=B44)*($D$2:$D$500&lt;=E44)*($E$2:$E$500&gt;=D44)*($F$2:$F$500&lt;&gt;"Отменена")*($F$2:$F$500&lt;&gt;"Возвращена"))&gt;1,"Пересечение","ОК"))))</f>
        <v/>
      </c>
      <c r="H44" s="12">
        <f>IF(OR(B44="",D44=""),"",IF(AND(OR(F44="Выдана",F44="Возвращена"),SUMPRODUCT(($B$2:$B$500=B44)*($D$2:$D$500=D44)*(($F$2:$F$500="Выдана")+($F$2:$F$500="Возвращена")))&gt;1),"Дубль",""))</f>
        <v/>
      </c>
      <c r="I44" s="13">
        <f>IF(OR(B44="",COUNT(D44:E44)&lt;2,E44&lt;D44),"",IF(Настройки!$B$6=Настройки!$M$3,INT(E44)-INT(D44)+1,ROUNDUP(ROUND((E44-D44)*24,2)/24,0)))</f>
        <v/>
      </c>
      <c r="J44" s="14" t="n"/>
      <c r="K44" s="15">
        <f>IF(OR(I44="",J44=""),"",IF(F44="Отменена",0,ROUND(I44*J44,2)))</f>
        <v/>
      </c>
      <c r="L44" s="15">
        <f>IF(K44="","",ROUND(K44*Настройки!$B$5,2))</f>
        <v/>
      </c>
      <c r="M44" s="15">
        <f>IF(A44="","",SUMIFS(Начисления!$M$2:$M$1000,Начисления!$F$2:$F$1000,A44))</f>
        <v/>
      </c>
      <c r="N44" s="15">
        <f>IF(A44="","",SUM(K44:M44))</f>
        <v/>
      </c>
      <c r="O44" s="14" t="n"/>
      <c r="P44" s="15">
        <f>IF(A44="","",N44-O44)</f>
        <v/>
      </c>
      <c r="Q44" s="10" t="n"/>
      <c r="R44" s="10" t="n"/>
      <c r="S44" s="16">
        <f>IF(ISNUMBER(D44),D44+TIME(3,0,0),"")</f>
        <v/>
      </c>
      <c r="T44" s="10" t="n"/>
      <c r="U44" s="17">
        <f>IF(OR(B44="",COUNT(D44:E44)&lt;2,E44&lt;D44,F44="Отменена"),0,MAX(0,MIN(E44,Сводка!$B$4)-MAX(D44,Сводка!$B$2)))</f>
        <v/>
      </c>
    </row>
    <row r="45">
      <c r="A45" s="9" t="n"/>
      <c r="B45" s="10" t="n"/>
      <c r="C45" s="10" t="n"/>
      <c r="D45" s="11" t="n"/>
      <c r="E45" s="11" t="n"/>
      <c r="F45" s="10" t="n"/>
      <c r="G45" s="12">
        <f>IF(B45="","",IF(OR(COUNT(D45:E45)&lt;2,E45&lt;D45),"Проверьте даты",IF(OR(F45="Отменена",F45="Возвращена"),"",IF(SUMPRODUCT(($B$2:$B$500=B45)*($D$2:$D$500&lt;=E45)*($E$2:$E$500&gt;=D45)*($F$2:$F$500&lt;&gt;"Отменена")*($F$2:$F$500&lt;&gt;"Возвращена"))&gt;1,"Пересечение","ОК"))))</f>
        <v/>
      </c>
      <c r="H45" s="12">
        <f>IF(OR(B45="",D45=""),"",IF(AND(OR(F45="Выдана",F45="Возвращена"),SUMPRODUCT(($B$2:$B$500=B45)*($D$2:$D$500=D45)*(($F$2:$F$500="Выдана")+($F$2:$F$500="Возвращена")))&gt;1),"Дубль",""))</f>
        <v/>
      </c>
      <c r="I45" s="13">
        <f>IF(OR(B45="",COUNT(D45:E45)&lt;2,E45&lt;D45),"",IF(Настройки!$B$6=Настройки!$M$3,INT(E45)-INT(D45)+1,ROUNDUP(ROUND((E45-D45)*24,2)/24,0)))</f>
        <v/>
      </c>
      <c r="J45" s="14" t="n"/>
      <c r="K45" s="15">
        <f>IF(OR(I45="",J45=""),"",IF(F45="Отменена",0,ROUND(I45*J45,2)))</f>
        <v/>
      </c>
      <c r="L45" s="15">
        <f>IF(K45="","",ROUND(K45*Настройки!$B$5,2))</f>
        <v/>
      </c>
      <c r="M45" s="15">
        <f>IF(A45="","",SUMIFS(Начисления!$M$2:$M$1000,Начисления!$F$2:$F$1000,A45))</f>
        <v/>
      </c>
      <c r="N45" s="15">
        <f>IF(A45="","",SUM(K45:M45))</f>
        <v/>
      </c>
      <c r="O45" s="14" t="n"/>
      <c r="P45" s="15">
        <f>IF(A45="","",N45-O45)</f>
        <v/>
      </c>
      <c r="Q45" s="10" t="n"/>
      <c r="R45" s="10" t="n"/>
      <c r="S45" s="16">
        <f>IF(ISNUMBER(D45),D45+TIME(3,0,0),"")</f>
        <v/>
      </c>
      <c r="T45" s="10" t="n"/>
      <c r="U45" s="17">
        <f>IF(OR(B45="",COUNT(D45:E45)&lt;2,E45&lt;D45,F45="Отменена"),0,MAX(0,MIN(E45,Сводка!$B$4)-MAX(D45,Сводка!$B$2)))</f>
        <v/>
      </c>
    </row>
    <row r="46">
      <c r="A46" s="9" t="n"/>
      <c r="B46" s="10" t="n"/>
      <c r="C46" s="10" t="n"/>
      <c r="D46" s="11" t="n"/>
      <c r="E46" s="11" t="n"/>
      <c r="F46" s="10" t="n"/>
      <c r="G46" s="12">
        <f>IF(B46="","",IF(OR(COUNT(D46:E46)&lt;2,E46&lt;D46),"Проверьте даты",IF(OR(F46="Отменена",F46="Возвращена"),"",IF(SUMPRODUCT(($B$2:$B$500=B46)*($D$2:$D$500&lt;=E46)*($E$2:$E$500&gt;=D46)*($F$2:$F$500&lt;&gt;"Отменена")*($F$2:$F$500&lt;&gt;"Возвращена"))&gt;1,"Пересечение","ОК"))))</f>
        <v/>
      </c>
      <c r="H46" s="12">
        <f>IF(OR(B46="",D46=""),"",IF(AND(OR(F46="Выдана",F46="Возвращена"),SUMPRODUCT(($B$2:$B$500=B46)*($D$2:$D$500=D46)*(($F$2:$F$500="Выдана")+($F$2:$F$500="Возвращена")))&gt;1),"Дубль",""))</f>
        <v/>
      </c>
      <c r="I46" s="13">
        <f>IF(OR(B46="",COUNT(D46:E46)&lt;2,E46&lt;D46),"",IF(Настройки!$B$6=Настройки!$M$3,INT(E46)-INT(D46)+1,ROUNDUP(ROUND((E46-D46)*24,2)/24,0)))</f>
        <v/>
      </c>
      <c r="J46" s="14" t="n"/>
      <c r="K46" s="15">
        <f>IF(OR(I46="",J46=""),"",IF(F46="Отменена",0,ROUND(I46*J46,2)))</f>
        <v/>
      </c>
      <c r="L46" s="15">
        <f>IF(K46="","",ROUND(K46*Настройки!$B$5,2))</f>
        <v/>
      </c>
      <c r="M46" s="15">
        <f>IF(A46="","",SUMIFS(Начисления!$M$2:$M$1000,Начисления!$F$2:$F$1000,A46))</f>
        <v/>
      </c>
      <c r="N46" s="15">
        <f>IF(A46="","",SUM(K46:M46))</f>
        <v/>
      </c>
      <c r="O46" s="14" t="n"/>
      <c r="P46" s="15">
        <f>IF(A46="","",N46-O46)</f>
        <v/>
      </c>
      <c r="Q46" s="10" t="n"/>
      <c r="R46" s="10" t="n"/>
      <c r="S46" s="16">
        <f>IF(ISNUMBER(D46),D46+TIME(3,0,0),"")</f>
        <v/>
      </c>
      <c r="T46" s="10" t="n"/>
      <c r="U46" s="17">
        <f>IF(OR(B46="",COUNT(D46:E46)&lt;2,E46&lt;D46,F46="Отменена"),0,MAX(0,MIN(E46,Сводка!$B$4)-MAX(D46,Сводка!$B$2)))</f>
        <v/>
      </c>
    </row>
    <row r="47">
      <c r="A47" s="9" t="n"/>
      <c r="B47" s="10" t="n"/>
      <c r="C47" s="10" t="n"/>
      <c r="D47" s="11" t="n"/>
      <c r="E47" s="11" t="n"/>
      <c r="F47" s="10" t="n"/>
      <c r="G47" s="12">
        <f>IF(B47="","",IF(OR(COUNT(D47:E47)&lt;2,E47&lt;D47),"Проверьте даты",IF(OR(F47="Отменена",F47="Возвращена"),"",IF(SUMPRODUCT(($B$2:$B$500=B47)*($D$2:$D$500&lt;=E47)*($E$2:$E$500&gt;=D47)*($F$2:$F$500&lt;&gt;"Отменена")*($F$2:$F$500&lt;&gt;"Возвращена"))&gt;1,"Пересечение","ОК"))))</f>
        <v/>
      </c>
      <c r="H47" s="12">
        <f>IF(OR(B47="",D47=""),"",IF(AND(OR(F47="Выдана",F47="Возвращена"),SUMPRODUCT(($B$2:$B$500=B47)*($D$2:$D$500=D47)*(($F$2:$F$500="Выдана")+($F$2:$F$500="Возвращена")))&gt;1),"Дубль",""))</f>
        <v/>
      </c>
      <c r="I47" s="13">
        <f>IF(OR(B47="",COUNT(D47:E47)&lt;2,E47&lt;D47),"",IF(Настройки!$B$6=Настройки!$M$3,INT(E47)-INT(D47)+1,ROUNDUP(ROUND((E47-D47)*24,2)/24,0)))</f>
        <v/>
      </c>
      <c r="J47" s="14" t="n"/>
      <c r="K47" s="15">
        <f>IF(OR(I47="",J47=""),"",IF(F47="Отменена",0,ROUND(I47*J47,2)))</f>
        <v/>
      </c>
      <c r="L47" s="15">
        <f>IF(K47="","",ROUND(K47*Настройки!$B$5,2))</f>
        <v/>
      </c>
      <c r="M47" s="15">
        <f>IF(A47="","",SUMIFS(Начисления!$M$2:$M$1000,Начисления!$F$2:$F$1000,A47))</f>
        <v/>
      </c>
      <c r="N47" s="15">
        <f>IF(A47="","",SUM(K47:M47))</f>
        <v/>
      </c>
      <c r="O47" s="14" t="n"/>
      <c r="P47" s="15">
        <f>IF(A47="","",N47-O47)</f>
        <v/>
      </c>
      <c r="Q47" s="10" t="n"/>
      <c r="R47" s="10" t="n"/>
      <c r="S47" s="16">
        <f>IF(ISNUMBER(D47),D47+TIME(3,0,0),"")</f>
        <v/>
      </c>
      <c r="T47" s="10" t="n"/>
      <c r="U47" s="17">
        <f>IF(OR(B47="",COUNT(D47:E47)&lt;2,E47&lt;D47,F47="Отменена"),0,MAX(0,MIN(E47,Сводка!$B$4)-MAX(D47,Сводка!$B$2)))</f>
        <v/>
      </c>
    </row>
    <row r="48">
      <c r="A48" s="9" t="n"/>
      <c r="B48" s="10" t="n"/>
      <c r="C48" s="10" t="n"/>
      <c r="D48" s="11" t="n"/>
      <c r="E48" s="11" t="n"/>
      <c r="F48" s="10" t="n"/>
      <c r="G48" s="12">
        <f>IF(B48="","",IF(OR(COUNT(D48:E48)&lt;2,E48&lt;D48),"Проверьте даты",IF(OR(F48="Отменена",F48="Возвращена"),"",IF(SUMPRODUCT(($B$2:$B$500=B48)*($D$2:$D$500&lt;=E48)*($E$2:$E$500&gt;=D48)*($F$2:$F$500&lt;&gt;"Отменена")*($F$2:$F$500&lt;&gt;"Возвращена"))&gt;1,"Пересечение","ОК"))))</f>
        <v/>
      </c>
      <c r="H48" s="12">
        <f>IF(OR(B48="",D48=""),"",IF(AND(OR(F48="Выдана",F48="Возвращена"),SUMPRODUCT(($B$2:$B$500=B48)*($D$2:$D$500=D48)*(($F$2:$F$500="Выдана")+($F$2:$F$500="Возвращена")))&gt;1),"Дубль",""))</f>
        <v/>
      </c>
      <c r="I48" s="13">
        <f>IF(OR(B48="",COUNT(D48:E48)&lt;2,E48&lt;D48),"",IF(Настройки!$B$6=Настройки!$M$3,INT(E48)-INT(D48)+1,ROUNDUP(ROUND((E48-D48)*24,2)/24,0)))</f>
        <v/>
      </c>
      <c r="J48" s="14" t="n"/>
      <c r="K48" s="15">
        <f>IF(OR(I48="",J48=""),"",IF(F48="Отменена",0,ROUND(I48*J48,2)))</f>
        <v/>
      </c>
      <c r="L48" s="15">
        <f>IF(K48="","",ROUND(K48*Настройки!$B$5,2))</f>
        <v/>
      </c>
      <c r="M48" s="15">
        <f>IF(A48="","",SUMIFS(Начисления!$M$2:$M$1000,Начисления!$F$2:$F$1000,A48))</f>
        <v/>
      </c>
      <c r="N48" s="15">
        <f>IF(A48="","",SUM(K48:M48))</f>
        <v/>
      </c>
      <c r="O48" s="14" t="n"/>
      <c r="P48" s="15">
        <f>IF(A48="","",N48-O48)</f>
        <v/>
      </c>
      <c r="Q48" s="10" t="n"/>
      <c r="R48" s="10" t="n"/>
      <c r="S48" s="16">
        <f>IF(ISNUMBER(D48),D48+TIME(3,0,0),"")</f>
        <v/>
      </c>
      <c r="T48" s="10" t="n"/>
      <c r="U48" s="17">
        <f>IF(OR(B48="",COUNT(D48:E48)&lt;2,E48&lt;D48,F48="Отменена"),0,MAX(0,MIN(E48,Сводка!$B$4)-MAX(D48,Сводка!$B$2)))</f>
        <v/>
      </c>
    </row>
    <row r="49">
      <c r="A49" s="9" t="n"/>
      <c r="B49" s="10" t="n"/>
      <c r="C49" s="10" t="n"/>
      <c r="D49" s="11" t="n"/>
      <c r="E49" s="11" t="n"/>
      <c r="F49" s="10" t="n"/>
      <c r="G49" s="12">
        <f>IF(B49="","",IF(OR(COUNT(D49:E49)&lt;2,E49&lt;D49),"Проверьте даты",IF(OR(F49="Отменена",F49="Возвращена"),"",IF(SUMPRODUCT(($B$2:$B$500=B49)*($D$2:$D$500&lt;=E49)*($E$2:$E$500&gt;=D49)*($F$2:$F$500&lt;&gt;"Отменена")*($F$2:$F$500&lt;&gt;"Возвращена"))&gt;1,"Пересечение","ОК"))))</f>
        <v/>
      </c>
      <c r="H49" s="12">
        <f>IF(OR(B49="",D49=""),"",IF(AND(OR(F49="Выдана",F49="Возвращена"),SUMPRODUCT(($B$2:$B$500=B49)*($D$2:$D$500=D49)*(($F$2:$F$500="Выдана")+($F$2:$F$500="Возвращена")))&gt;1),"Дубль",""))</f>
        <v/>
      </c>
      <c r="I49" s="13">
        <f>IF(OR(B49="",COUNT(D49:E49)&lt;2,E49&lt;D49),"",IF(Настройки!$B$6=Настройки!$M$3,INT(E49)-INT(D49)+1,ROUNDUP(ROUND((E49-D49)*24,2)/24,0)))</f>
        <v/>
      </c>
      <c r="J49" s="14" t="n"/>
      <c r="K49" s="15">
        <f>IF(OR(I49="",J49=""),"",IF(F49="Отменена",0,ROUND(I49*J49,2)))</f>
        <v/>
      </c>
      <c r="L49" s="15">
        <f>IF(K49="","",ROUND(K49*Настройки!$B$5,2))</f>
        <v/>
      </c>
      <c r="M49" s="15">
        <f>IF(A49="","",SUMIFS(Начисления!$M$2:$M$1000,Начисления!$F$2:$F$1000,A49))</f>
        <v/>
      </c>
      <c r="N49" s="15">
        <f>IF(A49="","",SUM(K49:M49))</f>
        <v/>
      </c>
      <c r="O49" s="14" t="n"/>
      <c r="P49" s="15">
        <f>IF(A49="","",N49-O49)</f>
        <v/>
      </c>
      <c r="Q49" s="10" t="n"/>
      <c r="R49" s="10" t="n"/>
      <c r="S49" s="16">
        <f>IF(ISNUMBER(D49),D49+TIME(3,0,0),"")</f>
        <v/>
      </c>
      <c r="T49" s="10" t="n"/>
      <c r="U49" s="17">
        <f>IF(OR(B49="",COUNT(D49:E49)&lt;2,E49&lt;D49,F49="Отменена"),0,MAX(0,MIN(E49,Сводка!$B$4)-MAX(D49,Сводка!$B$2)))</f>
        <v/>
      </c>
    </row>
    <row r="50">
      <c r="A50" s="9" t="n"/>
      <c r="B50" s="10" t="n"/>
      <c r="C50" s="10" t="n"/>
      <c r="D50" s="11" t="n"/>
      <c r="E50" s="11" t="n"/>
      <c r="F50" s="10" t="n"/>
      <c r="G50" s="12">
        <f>IF(B50="","",IF(OR(COUNT(D50:E50)&lt;2,E50&lt;D50),"Проверьте даты",IF(OR(F50="Отменена",F50="Возвращена"),"",IF(SUMPRODUCT(($B$2:$B$500=B50)*($D$2:$D$500&lt;=E50)*($E$2:$E$500&gt;=D50)*($F$2:$F$500&lt;&gt;"Отменена")*($F$2:$F$500&lt;&gt;"Возвращена"))&gt;1,"Пересечение","ОК"))))</f>
        <v/>
      </c>
      <c r="H50" s="12">
        <f>IF(OR(B50="",D50=""),"",IF(AND(OR(F50="Выдана",F50="Возвращена"),SUMPRODUCT(($B$2:$B$500=B50)*($D$2:$D$500=D50)*(($F$2:$F$500="Выдана")+($F$2:$F$500="Возвращена")))&gt;1),"Дубль",""))</f>
        <v/>
      </c>
      <c r="I50" s="13">
        <f>IF(OR(B50="",COUNT(D50:E50)&lt;2,E50&lt;D50),"",IF(Настройки!$B$6=Настройки!$M$3,INT(E50)-INT(D50)+1,ROUNDUP(ROUND((E50-D50)*24,2)/24,0)))</f>
        <v/>
      </c>
      <c r="J50" s="14" t="n"/>
      <c r="K50" s="15">
        <f>IF(OR(I50="",J50=""),"",IF(F50="Отменена",0,ROUND(I50*J50,2)))</f>
        <v/>
      </c>
      <c r="L50" s="15">
        <f>IF(K50="","",ROUND(K50*Настройки!$B$5,2))</f>
        <v/>
      </c>
      <c r="M50" s="15">
        <f>IF(A50="","",SUMIFS(Начисления!$M$2:$M$1000,Начисления!$F$2:$F$1000,A50))</f>
        <v/>
      </c>
      <c r="N50" s="15">
        <f>IF(A50="","",SUM(K50:M50))</f>
        <v/>
      </c>
      <c r="O50" s="14" t="n"/>
      <c r="P50" s="15">
        <f>IF(A50="","",N50-O50)</f>
        <v/>
      </c>
      <c r="Q50" s="10" t="n"/>
      <c r="R50" s="10" t="n"/>
      <c r="S50" s="16">
        <f>IF(ISNUMBER(D50),D50+TIME(3,0,0),"")</f>
        <v/>
      </c>
      <c r="T50" s="10" t="n"/>
      <c r="U50" s="17">
        <f>IF(OR(B50="",COUNT(D50:E50)&lt;2,E50&lt;D50,F50="Отменена"),0,MAX(0,MIN(E50,Сводка!$B$4)-MAX(D50,Сводка!$B$2)))</f>
        <v/>
      </c>
    </row>
    <row r="51">
      <c r="A51" s="9" t="n"/>
      <c r="B51" s="10" t="n"/>
      <c r="C51" s="10" t="n"/>
      <c r="D51" s="11" t="n"/>
      <c r="E51" s="11" t="n"/>
      <c r="F51" s="10" t="n"/>
      <c r="G51" s="12">
        <f>IF(B51="","",IF(OR(COUNT(D51:E51)&lt;2,E51&lt;D51),"Проверьте даты",IF(OR(F51="Отменена",F51="Возвращена"),"",IF(SUMPRODUCT(($B$2:$B$500=B51)*($D$2:$D$500&lt;=E51)*($E$2:$E$500&gt;=D51)*($F$2:$F$500&lt;&gt;"Отменена")*($F$2:$F$500&lt;&gt;"Возвращена"))&gt;1,"Пересечение","ОК"))))</f>
        <v/>
      </c>
      <c r="H51" s="12">
        <f>IF(OR(B51="",D51=""),"",IF(AND(OR(F51="Выдана",F51="Возвращена"),SUMPRODUCT(($B$2:$B$500=B51)*($D$2:$D$500=D51)*(($F$2:$F$500="Выдана")+($F$2:$F$500="Возвращена")))&gt;1),"Дубль",""))</f>
        <v/>
      </c>
      <c r="I51" s="13">
        <f>IF(OR(B51="",COUNT(D51:E51)&lt;2,E51&lt;D51),"",IF(Настройки!$B$6=Настройки!$M$3,INT(E51)-INT(D51)+1,ROUNDUP(ROUND((E51-D51)*24,2)/24,0)))</f>
        <v/>
      </c>
      <c r="J51" s="14" t="n"/>
      <c r="K51" s="15">
        <f>IF(OR(I51="",J51=""),"",IF(F51="Отменена",0,ROUND(I51*J51,2)))</f>
        <v/>
      </c>
      <c r="L51" s="15">
        <f>IF(K51="","",ROUND(K51*Настройки!$B$5,2))</f>
        <v/>
      </c>
      <c r="M51" s="15">
        <f>IF(A51="","",SUMIFS(Начисления!$M$2:$M$1000,Начисления!$F$2:$F$1000,A51))</f>
        <v/>
      </c>
      <c r="N51" s="15">
        <f>IF(A51="","",SUM(K51:M51))</f>
        <v/>
      </c>
      <c r="O51" s="14" t="n"/>
      <c r="P51" s="15">
        <f>IF(A51="","",N51-O51)</f>
        <v/>
      </c>
      <c r="Q51" s="10" t="n"/>
      <c r="R51" s="10" t="n"/>
      <c r="S51" s="16">
        <f>IF(ISNUMBER(D51),D51+TIME(3,0,0),"")</f>
        <v/>
      </c>
      <c r="T51" s="10" t="n"/>
      <c r="U51" s="17">
        <f>IF(OR(B51="",COUNT(D51:E51)&lt;2,E51&lt;D51,F51="Отменена"),0,MAX(0,MIN(E51,Сводка!$B$4)-MAX(D51,Сводка!$B$2)))</f>
        <v/>
      </c>
    </row>
    <row r="52">
      <c r="A52" s="9" t="n"/>
      <c r="B52" s="10" t="n"/>
      <c r="C52" s="10" t="n"/>
      <c r="D52" s="11" t="n"/>
      <c r="E52" s="11" t="n"/>
      <c r="F52" s="10" t="n"/>
      <c r="G52" s="12">
        <f>IF(B52="","",IF(OR(COUNT(D52:E52)&lt;2,E52&lt;D52),"Проверьте даты",IF(OR(F52="Отменена",F52="Возвращена"),"",IF(SUMPRODUCT(($B$2:$B$500=B52)*($D$2:$D$500&lt;=E52)*($E$2:$E$500&gt;=D52)*($F$2:$F$500&lt;&gt;"Отменена")*($F$2:$F$500&lt;&gt;"Возвращена"))&gt;1,"Пересечение","ОК"))))</f>
        <v/>
      </c>
      <c r="H52" s="12">
        <f>IF(OR(B52="",D52=""),"",IF(AND(OR(F52="Выдана",F52="Возвращена"),SUMPRODUCT(($B$2:$B$500=B52)*($D$2:$D$500=D52)*(($F$2:$F$500="Выдана")+($F$2:$F$500="Возвращена")))&gt;1),"Дубль",""))</f>
        <v/>
      </c>
      <c r="I52" s="13">
        <f>IF(OR(B52="",COUNT(D52:E52)&lt;2,E52&lt;D52),"",IF(Настройки!$B$6=Настройки!$M$3,INT(E52)-INT(D52)+1,ROUNDUP(ROUND((E52-D52)*24,2)/24,0)))</f>
        <v/>
      </c>
      <c r="J52" s="14" t="n"/>
      <c r="K52" s="15">
        <f>IF(OR(I52="",J52=""),"",IF(F52="Отменена",0,ROUND(I52*J52,2)))</f>
        <v/>
      </c>
      <c r="L52" s="15">
        <f>IF(K52="","",ROUND(K52*Настройки!$B$5,2))</f>
        <v/>
      </c>
      <c r="M52" s="15">
        <f>IF(A52="","",SUMIFS(Начисления!$M$2:$M$1000,Начисления!$F$2:$F$1000,A52))</f>
        <v/>
      </c>
      <c r="N52" s="15">
        <f>IF(A52="","",SUM(K52:M52))</f>
        <v/>
      </c>
      <c r="O52" s="14" t="n"/>
      <c r="P52" s="15">
        <f>IF(A52="","",N52-O52)</f>
        <v/>
      </c>
      <c r="Q52" s="10" t="n"/>
      <c r="R52" s="10" t="n"/>
      <c r="S52" s="16">
        <f>IF(ISNUMBER(D52),D52+TIME(3,0,0),"")</f>
        <v/>
      </c>
      <c r="T52" s="10" t="n"/>
      <c r="U52" s="17">
        <f>IF(OR(B52="",COUNT(D52:E52)&lt;2,E52&lt;D52,F52="Отменена"),0,MAX(0,MIN(E52,Сводка!$B$4)-MAX(D52,Сводка!$B$2)))</f>
        <v/>
      </c>
    </row>
    <row r="53">
      <c r="A53" s="9" t="n"/>
      <c r="B53" s="10" t="n"/>
      <c r="C53" s="10" t="n"/>
      <c r="D53" s="11" t="n"/>
      <c r="E53" s="11" t="n"/>
      <c r="F53" s="10" t="n"/>
      <c r="G53" s="12">
        <f>IF(B53="","",IF(OR(COUNT(D53:E53)&lt;2,E53&lt;D53),"Проверьте даты",IF(OR(F53="Отменена",F53="Возвращена"),"",IF(SUMPRODUCT(($B$2:$B$500=B53)*($D$2:$D$500&lt;=E53)*($E$2:$E$500&gt;=D53)*($F$2:$F$500&lt;&gt;"Отменена")*($F$2:$F$500&lt;&gt;"Возвращена"))&gt;1,"Пересечение","ОК"))))</f>
        <v/>
      </c>
      <c r="H53" s="12">
        <f>IF(OR(B53="",D53=""),"",IF(AND(OR(F53="Выдана",F53="Возвращена"),SUMPRODUCT(($B$2:$B$500=B53)*($D$2:$D$500=D53)*(($F$2:$F$500="Выдана")+($F$2:$F$500="Возвращена")))&gt;1),"Дубль",""))</f>
        <v/>
      </c>
      <c r="I53" s="13">
        <f>IF(OR(B53="",COUNT(D53:E53)&lt;2,E53&lt;D53),"",IF(Настройки!$B$6=Настройки!$M$3,INT(E53)-INT(D53)+1,ROUNDUP(ROUND((E53-D53)*24,2)/24,0)))</f>
        <v/>
      </c>
      <c r="J53" s="14" t="n"/>
      <c r="K53" s="15">
        <f>IF(OR(I53="",J53=""),"",IF(F53="Отменена",0,ROUND(I53*J53,2)))</f>
        <v/>
      </c>
      <c r="L53" s="15">
        <f>IF(K53="","",ROUND(K53*Настройки!$B$5,2))</f>
        <v/>
      </c>
      <c r="M53" s="15">
        <f>IF(A53="","",SUMIFS(Начисления!$M$2:$M$1000,Начисления!$F$2:$F$1000,A53))</f>
        <v/>
      </c>
      <c r="N53" s="15">
        <f>IF(A53="","",SUM(K53:M53))</f>
        <v/>
      </c>
      <c r="O53" s="14" t="n"/>
      <c r="P53" s="15">
        <f>IF(A53="","",N53-O53)</f>
        <v/>
      </c>
      <c r="Q53" s="10" t="n"/>
      <c r="R53" s="10" t="n"/>
      <c r="S53" s="16">
        <f>IF(ISNUMBER(D53),D53+TIME(3,0,0),"")</f>
        <v/>
      </c>
      <c r="T53" s="10" t="n"/>
      <c r="U53" s="17">
        <f>IF(OR(B53="",COUNT(D53:E53)&lt;2,E53&lt;D53,F53="Отменена"),0,MAX(0,MIN(E53,Сводка!$B$4)-MAX(D53,Сводка!$B$2)))</f>
        <v/>
      </c>
    </row>
    <row r="54">
      <c r="A54" s="9" t="n"/>
      <c r="B54" s="10" t="n"/>
      <c r="C54" s="10" t="n"/>
      <c r="D54" s="11" t="n"/>
      <c r="E54" s="11" t="n"/>
      <c r="F54" s="10" t="n"/>
      <c r="G54" s="12">
        <f>IF(B54="","",IF(OR(COUNT(D54:E54)&lt;2,E54&lt;D54),"Проверьте даты",IF(OR(F54="Отменена",F54="Возвращена"),"",IF(SUMPRODUCT(($B$2:$B$500=B54)*($D$2:$D$500&lt;=E54)*($E$2:$E$500&gt;=D54)*($F$2:$F$500&lt;&gt;"Отменена")*($F$2:$F$500&lt;&gt;"Возвращена"))&gt;1,"Пересечение","ОК"))))</f>
        <v/>
      </c>
      <c r="H54" s="12">
        <f>IF(OR(B54="",D54=""),"",IF(AND(OR(F54="Выдана",F54="Возвращена"),SUMPRODUCT(($B$2:$B$500=B54)*($D$2:$D$500=D54)*(($F$2:$F$500="Выдана")+($F$2:$F$500="Возвращена")))&gt;1),"Дубль",""))</f>
        <v/>
      </c>
      <c r="I54" s="13">
        <f>IF(OR(B54="",COUNT(D54:E54)&lt;2,E54&lt;D54),"",IF(Настройки!$B$6=Настройки!$M$3,INT(E54)-INT(D54)+1,ROUNDUP(ROUND((E54-D54)*24,2)/24,0)))</f>
        <v/>
      </c>
      <c r="J54" s="14" t="n"/>
      <c r="K54" s="15">
        <f>IF(OR(I54="",J54=""),"",IF(F54="Отменена",0,ROUND(I54*J54,2)))</f>
        <v/>
      </c>
      <c r="L54" s="15">
        <f>IF(K54="","",ROUND(K54*Настройки!$B$5,2))</f>
        <v/>
      </c>
      <c r="M54" s="15">
        <f>IF(A54="","",SUMIFS(Начисления!$M$2:$M$1000,Начисления!$F$2:$F$1000,A54))</f>
        <v/>
      </c>
      <c r="N54" s="15">
        <f>IF(A54="","",SUM(K54:M54))</f>
        <v/>
      </c>
      <c r="O54" s="14" t="n"/>
      <c r="P54" s="15">
        <f>IF(A54="","",N54-O54)</f>
        <v/>
      </c>
      <c r="Q54" s="10" t="n"/>
      <c r="R54" s="10" t="n"/>
      <c r="S54" s="16">
        <f>IF(ISNUMBER(D54),D54+TIME(3,0,0),"")</f>
        <v/>
      </c>
      <c r="T54" s="10" t="n"/>
      <c r="U54" s="17">
        <f>IF(OR(B54="",COUNT(D54:E54)&lt;2,E54&lt;D54,F54="Отменена"),0,MAX(0,MIN(E54,Сводка!$B$4)-MAX(D54,Сводка!$B$2)))</f>
        <v/>
      </c>
    </row>
    <row r="55">
      <c r="A55" s="9" t="n"/>
      <c r="B55" s="10" t="n"/>
      <c r="C55" s="10" t="n"/>
      <c r="D55" s="11" t="n"/>
      <c r="E55" s="11" t="n"/>
      <c r="F55" s="10" t="n"/>
      <c r="G55" s="12">
        <f>IF(B55="","",IF(OR(COUNT(D55:E55)&lt;2,E55&lt;D55),"Проверьте даты",IF(OR(F55="Отменена",F55="Возвращена"),"",IF(SUMPRODUCT(($B$2:$B$500=B55)*($D$2:$D$500&lt;=E55)*($E$2:$E$500&gt;=D55)*($F$2:$F$500&lt;&gt;"Отменена")*($F$2:$F$500&lt;&gt;"Возвращена"))&gt;1,"Пересечение","ОК"))))</f>
        <v/>
      </c>
      <c r="H55" s="12">
        <f>IF(OR(B55="",D55=""),"",IF(AND(OR(F55="Выдана",F55="Возвращена"),SUMPRODUCT(($B$2:$B$500=B55)*($D$2:$D$500=D55)*(($F$2:$F$500="Выдана")+($F$2:$F$500="Возвращена")))&gt;1),"Дубль",""))</f>
        <v/>
      </c>
      <c r="I55" s="13">
        <f>IF(OR(B55="",COUNT(D55:E55)&lt;2,E55&lt;D55),"",IF(Настройки!$B$6=Настройки!$M$3,INT(E55)-INT(D55)+1,ROUNDUP(ROUND((E55-D55)*24,2)/24,0)))</f>
        <v/>
      </c>
      <c r="J55" s="14" t="n"/>
      <c r="K55" s="15">
        <f>IF(OR(I55="",J55=""),"",IF(F55="Отменена",0,ROUND(I55*J55,2)))</f>
        <v/>
      </c>
      <c r="L55" s="15">
        <f>IF(K55="","",ROUND(K55*Настройки!$B$5,2))</f>
        <v/>
      </c>
      <c r="M55" s="15">
        <f>IF(A55="","",SUMIFS(Начисления!$M$2:$M$1000,Начисления!$F$2:$F$1000,A55))</f>
        <v/>
      </c>
      <c r="N55" s="15">
        <f>IF(A55="","",SUM(K55:M55))</f>
        <v/>
      </c>
      <c r="O55" s="14" t="n"/>
      <c r="P55" s="15">
        <f>IF(A55="","",N55-O55)</f>
        <v/>
      </c>
      <c r="Q55" s="10" t="n"/>
      <c r="R55" s="10" t="n"/>
      <c r="S55" s="16">
        <f>IF(ISNUMBER(D55),D55+TIME(3,0,0),"")</f>
        <v/>
      </c>
      <c r="T55" s="10" t="n"/>
      <c r="U55" s="17">
        <f>IF(OR(B55="",COUNT(D55:E55)&lt;2,E55&lt;D55,F55="Отменена"),0,MAX(0,MIN(E55,Сводка!$B$4)-MAX(D55,Сводка!$B$2)))</f>
        <v/>
      </c>
    </row>
    <row r="56">
      <c r="A56" s="9" t="n"/>
      <c r="B56" s="10" t="n"/>
      <c r="C56" s="10" t="n"/>
      <c r="D56" s="11" t="n"/>
      <c r="E56" s="11" t="n"/>
      <c r="F56" s="10" t="n"/>
      <c r="G56" s="12">
        <f>IF(B56="","",IF(OR(COUNT(D56:E56)&lt;2,E56&lt;D56),"Проверьте даты",IF(OR(F56="Отменена",F56="Возвращена"),"",IF(SUMPRODUCT(($B$2:$B$500=B56)*($D$2:$D$500&lt;=E56)*($E$2:$E$500&gt;=D56)*($F$2:$F$500&lt;&gt;"Отменена")*($F$2:$F$500&lt;&gt;"Возвращена"))&gt;1,"Пересечение","ОК"))))</f>
        <v/>
      </c>
      <c r="H56" s="12">
        <f>IF(OR(B56="",D56=""),"",IF(AND(OR(F56="Выдана",F56="Возвращена"),SUMPRODUCT(($B$2:$B$500=B56)*($D$2:$D$500=D56)*(($F$2:$F$500="Выдана")+($F$2:$F$500="Возвращена")))&gt;1),"Дубль",""))</f>
        <v/>
      </c>
      <c r="I56" s="13">
        <f>IF(OR(B56="",COUNT(D56:E56)&lt;2,E56&lt;D56),"",IF(Настройки!$B$6=Настройки!$M$3,INT(E56)-INT(D56)+1,ROUNDUP(ROUND((E56-D56)*24,2)/24,0)))</f>
        <v/>
      </c>
      <c r="J56" s="14" t="n"/>
      <c r="K56" s="15">
        <f>IF(OR(I56="",J56=""),"",IF(F56="Отменена",0,ROUND(I56*J56,2)))</f>
        <v/>
      </c>
      <c r="L56" s="15">
        <f>IF(K56="","",ROUND(K56*Настройки!$B$5,2))</f>
        <v/>
      </c>
      <c r="M56" s="15">
        <f>IF(A56="","",SUMIFS(Начисления!$M$2:$M$1000,Начисления!$F$2:$F$1000,A56))</f>
        <v/>
      </c>
      <c r="N56" s="15">
        <f>IF(A56="","",SUM(K56:M56))</f>
        <v/>
      </c>
      <c r="O56" s="14" t="n"/>
      <c r="P56" s="15">
        <f>IF(A56="","",N56-O56)</f>
        <v/>
      </c>
      <c r="Q56" s="10" t="n"/>
      <c r="R56" s="10" t="n"/>
      <c r="S56" s="16">
        <f>IF(ISNUMBER(D56),D56+TIME(3,0,0),"")</f>
        <v/>
      </c>
      <c r="T56" s="10" t="n"/>
      <c r="U56" s="17">
        <f>IF(OR(B56="",COUNT(D56:E56)&lt;2,E56&lt;D56,F56="Отменена"),0,MAX(0,MIN(E56,Сводка!$B$4)-MAX(D56,Сводка!$B$2)))</f>
        <v/>
      </c>
    </row>
    <row r="57">
      <c r="A57" s="9" t="n"/>
      <c r="B57" s="10" t="n"/>
      <c r="C57" s="10" t="n"/>
      <c r="D57" s="11" t="n"/>
      <c r="E57" s="11" t="n"/>
      <c r="F57" s="10" t="n"/>
      <c r="G57" s="12">
        <f>IF(B57="","",IF(OR(COUNT(D57:E57)&lt;2,E57&lt;D57),"Проверьте даты",IF(OR(F57="Отменена",F57="Возвращена"),"",IF(SUMPRODUCT(($B$2:$B$500=B57)*($D$2:$D$500&lt;=E57)*($E$2:$E$500&gt;=D57)*($F$2:$F$500&lt;&gt;"Отменена")*($F$2:$F$500&lt;&gt;"Возвращена"))&gt;1,"Пересечение","ОК"))))</f>
        <v/>
      </c>
      <c r="H57" s="12">
        <f>IF(OR(B57="",D57=""),"",IF(AND(OR(F57="Выдана",F57="Возвращена"),SUMPRODUCT(($B$2:$B$500=B57)*($D$2:$D$500=D57)*(($F$2:$F$500="Выдана")+($F$2:$F$500="Возвращена")))&gt;1),"Дубль",""))</f>
        <v/>
      </c>
      <c r="I57" s="13">
        <f>IF(OR(B57="",COUNT(D57:E57)&lt;2,E57&lt;D57),"",IF(Настройки!$B$6=Настройки!$M$3,INT(E57)-INT(D57)+1,ROUNDUP(ROUND((E57-D57)*24,2)/24,0)))</f>
        <v/>
      </c>
      <c r="J57" s="14" t="n"/>
      <c r="K57" s="15">
        <f>IF(OR(I57="",J57=""),"",IF(F57="Отменена",0,ROUND(I57*J57,2)))</f>
        <v/>
      </c>
      <c r="L57" s="15">
        <f>IF(K57="","",ROUND(K57*Настройки!$B$5,2))</f>
        <v/>
      </c>
      <c r="M57" s="15">
        <f>IF(A57="","",SUMIFS(Начисления!$M$2:$M$1000,Начисления!$F$2:$F$1000,A57))</f>
        <v/>
      </c>
      <c r="N57" s="15">
        <f>IF(A57="","",SUM(K57:M57))</f>
        <v/>
      </c>
      <c r="O57" s="14" t="n"/>
      <c r="P57" s="15">
        <f>IF(A57="","",N57-O57)</f>
        <v/>
      </c>
      <c r="Q57" s="10" t="n"/>
      <c r="R57" s="10" t="n"/>
      <c r="S57" s="16">
        <f>IF(ISNUMBER(D57),D57+TIME(3,0,0),"")</f>
        <v/>
      </c>
      <c r="T57" s="10" t="n"/>
      <c r="U57" s="17">
        <f>IF(OR(B57="",COUNT(D57:E57)&lt;2,E57&lt;D57,F57="Отменена"),0,MAX(0,MIN(E57,Сводка!$B$4)-MAX(D57,Сводка!$B$2)))</f>
        <v/>
      </c>
    </row>
    <row r="58">
      <c r="A58" s="9" t="n"/>
      <c r="B58" s="10" t="n"/>
      <c r="C58" s="10" t="n"/>
      <c r="D58" s="11" t="n"/>
      <c r="E58" s="11" t="n"/>
      <c r="F58" s="10" t="n"/>
      <c r="G58" s="12">
        <f>IF(B58="","",IF(OR(COUNT(D58:E58)&lt;2,E58&lt;D58),"Проверьте даты",IF(OR(F58="Отменена",F58="Возвращена"),"",IF(SUMPRODUCT(($B$2:$B$500=B58)*($D$2:$D$500&lt;=E58)*($E$2:$E$500&gt;=D58)*($F$2:$F$500&lt;&gt;"Отменена")*($F$2:$F$500&lt;&gt;"Возвращена"))&gt;1,"Пересечение","ОК"))))</f>
        <v/>
      </c>
      <c r="H58" s="12">
        <f>IF(OR(B58="",D58=""),"",IF(AND(OR(F58="Выдана",F58="Возвращена"),SUMPRODUCT(($B$2:$B$500=B58)*($D$2:$D$500=D58)*(($F$2:$F$500="Выдана")+($F$2:$F$500="Возвращена")))&gt;1),"Дубль",""))</f>
        <v/>
      </c>
      <c r="I58" s="13">
        <f>IF(OR(B58="",COUNT(D58:E58)&lt;2,E58&lt;D58),"",IF(Настройки!$B$6=Настройки!$M$3,INT(E58)-INT(D58)+1,ROUNDUP(ROUND((E58-D58)*24,2)/24,0)))</f>
        <v/>
      </c>
      <c r="J58" s="14" t="n"/>
      <c r="K58" s="15">
        <f>IF(OR(I58="",J58=""),"",IF(F58="Отменена",0,ROUND(I58*J58,2)))</f>
        <v/>
      </c>
      <c r="L58" s="15">
        <f>IF(K58="","",ROUND(K58*Настройки!$B$5,2))</f>
        <v/>
      </c>
      <c r="M58" s="15">
        <f>IF(A58="","",SUMIFS(Начисления!$M$2:$M$1000,Начисления!$F$2:$F$1000,A58))</f>
        <v/>
      </c>
      <c r="N58" s="15">
        <f>IF(A58="","",SUM(K58:M58))</f>
        <v/>
      </c>
      <c r="O58" s="14" t="n"/>
      <c r="P58" s="15">
        <f>IF(A58="","",N58-O58)</f>
        <v/>
      </c>
      <c r="Q58" s="10" t="n"/>
      <c r="R58" s="10" t="n"/>
      <c r="S58" s="16">
        <f>IF(ISNUMBER(D58),D58+TIME(3,0,0),"")</f>
        <v/>
      </c>
      <c r="T58" s="10" t="n"/>
      <c r="U58" s="17">
        <f>IF(OR(B58="",COUNT(D58:E58)&lt;2,E58&lt;D58,F58="Отменена"),0,MAX(0,MIN(E58,Сводка!$B$4)-MAX(D58,Сводка!$B$2)))</f>
        <v/>
      </c>
    </row>
    <row r="59">
      <c r="A59" s="9" t="n"/>
      <c r="B59" s="10" t="n"/>
      <c r="C59" s="10" t="n"/>
      <c r="D59" s="11" t="n"/>
      <c r="E59" s="11" t="n"/>
      <c r="F59" s="10" t="n"/>
      <c r="G59" s="12">
        <f>IF(B59="","",IF(OR(COUNT(D59:E59)&lt;2,E59&lt;D59),"Проверьте даты",IF(OR(F59="Отменена",F59="Возвращена"),"",IF(SUMPRODUCT(($B$2:$B$500=B59)*($D$2:$D$500&lt;=E59)*($E$2:$E$500&gt;=D59)*($F$2:$F$500&lt;&gt;"Отменена")*($F$2:$F$500&lt;&gt;"Возвращена"))&gt;1,"Пересечение","ОК"))))</f>
        <v/>
      </c>
      <c r="H59" s="12">
        <f>IF(OR(B59="",D59=""),"",IF(AND(OR(F59="Выдана",F59="Возвращена"),SUMPRODUCT(($B$2:$B$500=B59)*($D$2:$D$500=D59)*(($F$2:$F$500="Выдана")+($F$2:$F$500="Возвращена")))&gt;1),"Дубль",""))</f>
        <v/>
      </c>
      <c r="I59" s="13">
        <f>IF(OR(B59="",COUNT(D59:E59)&lt;2,E59&lt;D59),"",IF(Настройки!$B$6=Настройки!$M$3,INT(E59)-INT(D59)+1,ROUNDUP(ROUND((E59-D59)*24,2)/24,0)))</f>
        <v/>
      </c>
      <c r="J59" s="14" t="n"/>
      <c r="K59" s="15">
        <f>IF(OR(I59="",J59=""),"",IF(F59="Отменена",0,ROUND(I59*J59,2)))</f>
        <v/>
      </c>
      <c r="L59" s="15">
        <f>IF(K59="","",ROUND(K59*Настройки!$B$5,2))</f>
        <v/>
      </c>
      <c r="M59" s="15">
        <f>IF(A59="","",SUMIFS(Начисления!$M$2:$M$1000,Начисления!$F$2:$F$1000,A59))</f>
        <v/>
      </c>
      <c r="N59" s="15">
        <f>IF(A59="","",SUM(K59:M59))</f>
        <v/>
      </c>
      <c r="O59" s="14" t="n"/>
      <c r="P59" s="15">
        <f>IF(A59="","",N59-O59)</f>
        <v/>
      </c>
      <c r="Q59" s="10" t="n"/>
      <c r="R59" s="10" t="n"/>
      <c r="S59" s="16">
        <f>IF(ISNUMBER(D59),D59+TIME(3,0,0),"")</f>
        <v/>
      </c>
      <c r="T59" s="10" t="n"/>
      <c r="U59" s="17">
        <f>IF(OR(B59="",COUNT(D59:E59)&lt;2,E59&lt;D59,F59="Отменена"),0,MAX(0,MIN(E59,Сводка!$B$4)-MAX(D59,Сводка!$B$2)))</f>
        <v/>
      </c>
    </row>
    <row r="60">
      <c r="A60" s="9" t="n"/>
      <c r="B60" s="10" t="n"/>
      <c r="C60" s="10" t="n"/>
      <c r="D60" s="11" t="n"/>
      <c r="E60" s="11" t="n"/>
      <c r="F60" s="10" t="n"/>
      <c r="G60" s="12">
        <f>IF(B60="","",IF(OR(COUNT(D60:E60)&lt;2,E60&lt;D60),"Проверьте даты",IF(OR(F60="Отменена",F60="Возвращена"),"",IF(SUMPRODUCT(($B$2:$B$500=B60)*($D$2:$D$500&lt;=E60)*($E$2:$E$500&gt;=D60)*($F$2:$F$500&lt;&gt;"Отменена")*($F$2:$F$500&lt;&gt;"Возвращена"))&gt;1,"Пересечение","ОК"))))</f>
        <v/>
      </c>
      <c r="H60" s="12">
        <f>IF(OR(B60="",D60=""),"",IF(AND(OR(F60="Выдана",F60="Возвращена"),SUMPRODUCT(($B$2:$B$500=B60)*($D$2:$D$500=D60)*(($F$2:$F$500="Выдана")+($F$2:$F$500="Возвращена")))&gt;1),"Дубль",""))</f>
        <v/>
      </c>
      <c r="I60" s="13">
        <f>IF(OR(B60="",COUNT(D60:E60)&lt;2,E60&lt;D60),"",IF(Настройки!$B$6=Настройки!$M$3,INT(E60)-INT(D60)+1,ROUNDUP(ROUND((E60-D60)*24,2)/24,0)))</f>
        <v/>
      </c>
      <c r="J60" s="14" t="n"/>
      <c r="K60" s="15">
        <f>IF(OR(I60="",J60=""),"",IF(F60="Отменена",0,ROUND(I60*J60,2)))</f>
        <v/>
      </c>
      <c r="L60" s="15">
        <f>IF(K60="","",ROUND(K60*Настройки!$B$5,2))</f>
        <v/>
      </c>
      <c r="M60" s="15">
        <f>IF(A60="","",SUMIFS(Начисления!$M$2:$M$1000,Начисления!$F$2:$F$1000,A60))</f>
        <v/>
      </c>
      <c r="N60" s="15">
        <f>IF(A60="","",SUM(K60:M60))</f>
        <v/>
      </c>
      <c r="O60" s="14" t="n"/>
      <c r="P60" s="15">
        <f>IF(A60="","",N60-O60)</f>
        <v/>
      </c>
      <c r="Q60" s="10" t="n"/>
      <c r="R60" s="10" t="n"/>
      <c r="S60" s="16">
        <f>IF(ISNUMBER(D60),D60+TIME(3,0,0),"")</f>
        <v/>
      </c>
      <c r="T60" s="10" t="n"/>
      <c r="U60" s="17">
        <f>IF(OR(B60="",COUNT(D60:E60)&lt;2,E60&lt;D60,F60="Отменена"),0,MAX(0,MIN(E60,Сводка!$B$4)-MAX(D60,Сводка!$B$2)))</f>
        <v/>
      </c>
    </row>
    <row r="61">
      <c r="A61" s="9" t="n"/>
      <c r="B61" s="10" t="n"/>
      <c r="C61" s="10" t="n"/>
      <c r="D61" s="11" t="n"/>
      <c r="E61" s="11" t="n"/>
      <c r="F61" s="10" t="n"/>
      <c r="G61" s="12">
        <f>IF(B61="","",IF(OR(COUNT(D61:E61)&lt;2,E61&lt;D61),"Проверьте даты",IF(OR(F61="Отменена",F61="Возвращена"),"",IF(SUMPRODUCT(($B$2:$B$500=B61)*($D$2:$D$500&lt;=E61)*($E$2:$E$500&gt;=D61)*($F$2:$F$500&lt;&gt;"Отменена")*($F$2:$F$500&lt;&gt;"Возвращена"))&gt;1,"Пересечение","ОК"))))</f>
        <v/>
      </c>
      <c r="H61" s="12">
        <f>IF(OR(B61="",D61=""),"",IF(AND(OR(F61="Выдана",F61="Возвращена"),SUMPRODUCT(($B$2:$B$500=B61)*($D$2:$D$500=D61)*(($F$2:$F$500="Выдана")+($F$2:$F$500="Возвращена")))&gt;1),"Дубль",""))</f>
        <v/>
      </c>
      <c r="I61" s="13">
        <f>IF(OR(B61="",COUNT(D61:E61)&lt;2,E61&lt;D61),"",IF(Настройки!$B$6=Настройки!$M$3,INT(E61)-INT(D61)+1,ROUNDUP(ROUND((E61-D61)*24,2)/24,0)))</f>
        <v/>
      </c>
      <c r="J61" s="14" t="n"/>
      <c r="K61" s="15">
        <f>IF(OR(I61="",J61=""),"",IF(F61="Отменена",0,ROUND(I61*J61,2)))</f>
        <v/>
      </c>
      <c r="L61" s="15">
        <f>IF(K61="","",ROUND(K61*Настройки!$B$5,2))</f>
        <v/>
      </c>
      <c r="M61" s="15">
        <f>IF(A61="","",SUMIFS(Начисления!$M$2:$M$1000,Начисления!$F$2:$F$1000,A61))</f>
        <v/>
      </c>
      <c r="N61" s="15">
        <f>IF(A61="","",SUM(K61:M61))</f>
        <v/>
      </c>
      <c r="O61" s="14" t="n"/>
      <c r="P61" s="15">
        <f>IF(A61="","",N61-O61)</f>
        <v/>
      </c>
      <c r="Q61" s="10" t="n"/>
      <c r="R61" s="10" t="n"/>
      <c r="S61" s="16">
        <f>IF(ISNUMBER(D61),D61+TIME(3,0,0),"")</f>
        <v/>
      </c>
      <c r="T61" s="10" t="n"/>
      <c r="U61" s="17">
        <f>IF(OR(B61="",COUNT(D61:E61)&lt;2,E61&lt;D61,F61="Отменена"),0,MAX(0,MIN(E61,Сводка!$B$4)-MAX(D61,Сводка!$B$2)))</f>
        <v/>
      </c>
    </row>
    <row r="62">
      <c r="A62" s="9" t="n"/>
      <c r="B62" s="10" t="n"/>
      <c r="C62" s="10" t="n"/>
      <c r="D62" s="11" t="n"/>
      <c r="E62" s="11" t="n"/>
      <c r="F62" s="10" t="n"/>
      <c r="G62" s="12">
        <f>IF(B62="","",IF(OR(COUNT(D62:E62)&lt;2,E62&lt;D62),"Проверьте даты",IF(OR(F62="Отменена",F62="Возвращена"),"",IF(SUMPRODUCT(($B$2:$B$500=B62)*($D$2:$D$500&lt;=E62)*($E$2:$E$500&gt;=D62)*($F$2:$F$500&lt;&gt;"Отменена")*($F$2:$F$500&lt;&gt;"Возвращена"))&gt;1,"Пересечение","ОК"))))</f>
        <v/>
      </c>
      <c r="H62" s="12">
        <f>IF(OR(B62="",D62=""),"",IF(AND(OR(F62="Выдана",F62="Возвращена"),SUMPRODUCT(($B$2:$B$500=B62)*($D$2:$D$500=D62)*(($F$2:$F$500="Выдана")+($F$2:$F$500="Возвращена")))&gt;1),"Дубль",""))</f>
        <v/>
      </c>
      <c r="I62" s="13">
        <f>IF(OR(B62="",COUNT(D62:E62)&lt;2,E62&lt;D62),"",IF(Настройки!$B$6=Настройки!$M$3,INT(E62)-INT(D62)+1,ROUNDUP(ROUND((E62-D62)*24,2)/24,0)))</f>
        <v/>
      </c>
      <c r="J62" s="14" t="n"/>
      <c r="K62" s="15">
        <f>IF(OR(I62="",J62=""),"",IF(F62="Отменена",0,ROUND(I62*J62,2)))</f>
        <v/>
      </c>
      <c r="L62" s="15">
        <f>IF(K62="","",ROUND(K62*Настройки!$B$5,2))</f>
        <v/>
      </c>
      <c r="M62" s="15">
        <f>IF(A62="","",SUMIFS(Начисления!$M$2:$M$1000,Начисления!$F$2:$F$1000,A62))</f>
        <v/>
      </c>
      <c r="N62" s="15">
        <f>IF(A62="","",SUM(K62:M62))</f>
        <v/>
      </c>
      <c r="O62" s="14" t="n"/>
      <c r="P62" s="15">
        <f>IF(A62="","",N62-O62)</f>
        <v/>
      </c>
      <c r="Q62" s="10" t="n"/>
      <c r="R62" s="10" t="n"/>
      <c r="S62" s="16">
        <f>IF(ISNUMBER(D62),D62+TIME(3,0,0),"")</f>
        <v/>
      </c>
      <c r="T62" s="10" t="n"/>
      <c r="U62" s="17">
        <f>IF(OR(B62="",COUNT(D62:E62)&lt;2,E62&lt;D62,F62="Отменена"),0,MAX(0,MIN(E62,Сводка!$B$4)-MAX(D62,Сводка!$B$2)))</f>
        <v/>
      </c>
    </row>
    <row r="63">
      <c r="A63" s="9" t="n"/>
      <c r="B63" s="10" t="n"/>
      <c r="C63" s="10" t="n"/>
      <c r="D63" s="11" t="n"/>
      <c r="E63" s="11" t="n"/>
      <c r="F63" s="10" t="n"/>
      <c r="G63" s="12">
        <f>IF(B63="","",IF(OR(COUNT(D63:E63)&lt;2,E63&lt;D63),"Проверьте даты",IF(OR(F63="Отменена",F63="Возвращена"),"",IF(SUMPRODUCT(($B$2:$B$500=B63)*($D$2:$D$500&lt;=E63)*($E$2:$E$500&gt;=D63)*($F$2:$F$500&lt;&gt;"Отменена")*($F$2:$F$500&lt;&gt;"Возвращена"))&gt;1,"Пересечение","ОК"))))</f>
        <v/>
      </c>
      <c r="H63" s="12">
        <f>IF(OR(B63="",D63=""),"",IF(AND(OR(F63="Выдана",F63="Возвращена"),SUMPRODUCT(($B$2:$B$500=B63)*($D$2:$D$500=D63)*(($F$2:$F$500="Выдана")+($F$2:$F$500="Возвращена")))&gt;1),"Дубль",""))</f>
        <v/>
      </c>
      <c r="I63" s="13">
        <f>IF(OR(B63="",COUNT(D63:E63)&lt;2,E63&lt;D63),"",IF(Настройки!$B$6=Настройки!$M$3,INT(E63)-INT(D63)+1,ROUNDUP(ROUND((E63-D63)*24,2)/24,0)))</f>
        <v/>
      </c>
      <c r="J63" s="14" t="n"/>
      <c r="K63" s="15">
        <f>IF(OR(I63="",J63=""),"",IF(F63="Отменена",0,ROUND(I63*J63,2)))</f>
        <v/>
      </c>
      <c r="L63" s="15">
        <f>IF(K63="","",ROUND(K63*Настройки!$B$5,2))</f>
        <v/>
      </c>
      <c r="M63" s="15">
        <f>IF(A63="","",SUMIFS(Начисления!$M$2:$M$1000,Начисления!$F$2:$F$1000,A63))</f>
        <v/>
      </c>
      <c r="N63" s="15">
        <f>IF(A63="","",SUM(K63:M63))</f>
        <v/>
      </c>
      <c r="O63" s="14" t="n"/>
      <c r="P63" s="15">
        <f>IF(A63="","",N63-O63)</f>
        <v/>
      </c>
      <c r="Q63" s="10" t="n"/>
      <c r="R63" s="10" t="n"/>
      <c r="S63" s="16">
        <f>IF(ISNUMBER(D63),D63+TIME(3,0,0),"")</f>
        <v/>
      </c>
      <c r="T63" s="10" t="n"/>
      <c r="U63" s="17">
        <f>IF(OR(B63="",COUNT(D63:E63)&lt;2,E63&lt;D63,F63="Отменена"),0,MAX(0,MIN(E63,Сводка!$B$4)-MAX(D63,Сводка!$B$2)))</f>
        <v/>
      </c>
    </row>
    <row r="64">
      <c r="A64" s="9" t="n"/>
      <c r="B64" s="10" t="n"/>
      <c r="C64" s="10" t="n"/>
      <c r="D64" s="11" t="n"/>
      <c r="E64" s="11" t="n"/>
      <c r="F64" s="10" t="n"/>
      <c r="G64" s="12">
        <f>IF(B64="","",IF(OR(COUNT(D64:E64)&lt;2,E64&lt;D64),"Проверьте даты",IF(OR(F64="Отменена",F64="Возвращена"),"",IF(SUMPRODUCT(($B$2:$B$500=B64)*($D$2:$D$500&lt;=E64)*($E$2:$E$500&gt;=D64)*($F$2:$F$500&lt;&gt;"Отменена")*($F$2:$F$500&lt;&gt;"Возвращена"))&gt;1,"Пересечение","ОК"))))</f>
        <v/>
      </c>
      <c r="H64" s="12">
        <f>IF(OR(B64="",D64=""),"",IF(AND(OR(F64="Выдана",F64="Возвращена"),SUMPRODUCT(($B$2:$B$500=B64)*($D$2:$D$500=D64)*(($F$2:$F$500="Выдана")+($F$2:$F$500="Возвращена")))&gt;1),"Дубль",""))</f>
        <v/>
      </c>
      <c r="I64" s="13">
        <f>IF(OR(B64="",COUNT(D64:E64)&lt;2,E64&lt;D64),"",IF(Настройки!$B$6=Настройки!$M$3,INT(E64)-INT(D64)+1,ROUNDUP(ROUND((E64-D64)*24,2)/24,0)))</f>
        <v/>
      </c>
      <c r="J64" s="14" t="n"/>
      <c r="K64" s="15">
        <f>IF(OR(I64="",J64=""),"",IF(F64="Отменена",0,ROUND(I64*J64,2)))</f>
        <v/>
      </c>
      <c r="L64" s="15">
        <f>IF(K64="","",ROUND(K64*Настройки!$B$5,2))</f>
        <v/>
      </c>
      <c r="M64" s="15">
        <f>IF(A64="","",SUMIFS(Начисления!$M$2:$M$1000,Начисления!$F$2:$F$1000,A64))</f>
        <v/>
      </c>
      <c r="N64" s="15">
        <f>IF(A64="","",SUM(K64:M64))</f>
        <v/>
      </c>
      <c r="O64" s="14" t="n"/>
      <c r="P64" s="15">
        <f>IF(A64="","",N64-O64)</f>
        <v/>
      </c>
      <c r="Q64" s="10" t="n"/>
      <c r="R64" s="10" t="n"/>
      <c r="S64" s="16">
        <f>IF(ISNUMBER(D64),D64+TIME(3,0,0),"")</f>
        <v/>
      </c>
      <c r="T64" s="10" t="n"/>
      <c r="U64" s="17">
        <f>IF(OR(B64="",COUNT(D64:E64)&lt;2,E64&lt;D64,F64="Отменена"),0,MAX(0,MIN(E64,Сводка!$B$4)-MAX(D64,Сводка!$B$2)))</f>
        <v/>
      </c>
    </row>
    <row r="65">
      <c r="A65" s="9" t="n"/>
      <c r="B65" s="10" t="n"/>
      <c r="C65" s="10" t="n"/>
      <c r="D65" s="11" t="n"/>
      <c r="E65" s="11" t="n"/>
      <c r="F65" s="10" t="n"/>
      <c r="G65" s="12">
        <f>IF(B65="","",IF(OR(COUNT(D65:E65)&lt;2,E65&lt;D65),"Проверьте даты",IF(OR(F65="Отменена",F65="Возвращена"),"",IF(SUMPRODUCT(($B$2:$B$500=B65)*($D$2:$D$500&lt;=E65)*($E$2:$E$500&gt;=D65)*($F$2:$F$500&lt;&gt;"Отменена")*($F$2:$F$500&lt;&gt;"Возвращена"))&gt;1,"Пересечение","ОК"))))</f>
        <v/>
      </c>
      <c r="H65" s="12">
        <f>IF(OR(B65="",D65=""),"",IF(AND(OR(F65="Выдана",F65="Возвращена"),SUMPRODUCT(($B$2:$B$500=B65)*($D$2:$D$500=D65)*(($F$2:$F$500="Выдана")+($F$2:$F$500="Возвращена")))&gt;1),"Дубль",""))</f>
        <v/>
      </c>
      <c r="I65" s="13">
        <f>IF(OR(B65="",COUNT(D65:E65)&lt;2,E65&lt;D65),"",IF(Настройки!$B$6=Настройки!$M$3,INT(E65)-INT(D65)+1,ROUNDUP(ROUND((E65-D65)*24,2)/24,0)))</f>
        <v/>
      </c>
      <c r="J65" s="14" t="n"/>
      <c r="K65" s="15">
        <f>IF(OR(I65="",J65=""),"",IF(F65="Отменена",0,ROUND(I65*J65,2)))</f>
        <v/>
      </c>
      <c r="L65" s="15">
        <f>IF(K65="","",ROUND(K65*Настройки!$B$5,2))</f>
        <v/>
      </c>
      <c r="M65" s="15">
        <f>IF(A65="","",SUMIFS(Начисления!$M$2:$M$1000,Начисления!$F$2:$F$1000,A65))</f>
        <v/>
      </c>
      <c r="N65" s="15">
        <f>IF(A65="","",SUM(K65:M65))</f>
        <v/>
      </c>
      <c r="O65" s="14" t="n"/>
      <c r="P65" s="15">
        <f>IF(A65="","",N65-O65)</f>
        <v/>
      </c>
      <c r="Q65" s="10" t="n"/>
      <c r="R65" s="10" t="n"/>
      <c r="S65" s="16">
        <f>IF(ISNUMBER(D65),D65+TIME(3,0,0),"")</f>
        <v/>
      </c>
      <c r="T65" s="10" t="n"/>
      <c r="U65" s="17">
        <f>IF(OR(B65="",COUNT(D65:E65)&lt;2,E65&lt;D65,F65="Отменена"),0,MAX(0,MIN(E65,Сводка!$B$4)-MAX(D65,Сводка!$B$2)))</f>
        <v/>
      </c>
    </row>
    <row r="66">
      <c r="A66" s="9" t="n"/>
      <c r="B66" s="10" t="n"/>
      <c r="C66" s="10" t="n"/>
      <c r="D66" s="11" t="n"/>
      <c r="E66" s="11" t="n"/>
      <c r="F66" s="10" t="n"/>
      <c r="G66" s="12">
        <f>IF(B66="","",IF(OR(COUNT(D66:E66)&lt;2,E66&lt;D66),"Проверьте даты",IF(OR(F66="Отменена",F66="Возвращена"),"",IF(SUMPRODUCT(($B$2:$B$500=B66)*($D$2:$D$500&lt;=E66)*($E$2:$E$500&gt;=D66)*($F$2:$F$500&lt;&gt;"Отменена")*($F$2:$F$500&lt;&gt;"Возвращена"))&gt;1,"Пересечение","ОК"))))</f>
        <v/>
      </c>
      <c r="H66" s="12">
        <f>IF(OR(B66="",D66=""),"",IF(AND(OR(F66="Выдана",F66="Возвращена"),SUMPRODUCT(($B$2:$B$500=B66)*($D$2:$D$500=D66)*(($F$2:$F$500="Выдана")+($F$2:$F$500="Возвращена")))&gt;1),"Дубль",""))</f>
        <v/>
      </c>
      <c r="I66" s="13">
        <f>IF(OR(B66="",COUNT(D66:E66)&lt;2,E66&lt;D66),"",IF(Настройки!$B$6=Настройки!$M$3,INT(E66)-INT(D66)+1,ROUNDUP(ROUND((E66-D66)*24,2)/24,0)))</f>
        <v/>
      </c>
      <c r="J66" s="14" t="n"/>
      <c r="K66" s="15">
        <f>IF(OR(I66="",J66=""),"",IF(F66="Отменена",0,ROUND(I66*J66,2)))</f>
        <v/>
      </c>
      <c r="L66" s="15">
        <f>IF(K66="","",ROUND(K66*Настройки!$B$5,2))</f>
        <v/>
      </c>
      <c r="M66" s="15">
        <f>IF(A66="","",SUMIFS(Начисления!$M$2:$M$1000,Начисления!$F$2:$F$1000,A66))</f>
        <v/>
      </c>
      <c r="N66" s="15">
        <f>IF(A66="","",SUM(K66:M66))</f>
        <v/>
      </c>
      <c r="O66" s="14" t="n"/>
      <c r="P66" s="15">
        <f>IF(A66="","",N66-O66)</f>
        <v/>
      </c>
      <c r="Q66" s="10" t="n"/>
      <c r="R66" s="10" t="n"/>
      <c r="S66" s="16">
        <f>IF(ISNUMBER(D66),D66+TIME(3,0,0),"")</f>
        <v/>
      </c>
      <c r="T66" s="10" t="n"/>
      <c r="U66" s="17">
        <f>IF(OR(B66="",COUNT(D66:E66)&lt;2,E66&lt;D66,F66="Отменена"),0,MAX(0,MIN(E66,Сводка!$B$4)-MAX(D66,Сводка!$B$2)))</f>
        <v/>
      </c>
    </row>
    <row r="67">
      <c r="A67" s="9" t="n"/>
      <c r="B67" s="10" t="n"/>
      <c r="C67" s="10" t="n"/>
      <c r="D67" s="11" t="n"/>
      <c r="E67" s="11" t="n"/>
      <c r="F67" s="10" t="n"/>
      <c r="G67" s="12">
        <f>IF(B67="","",IF(OR(COUNT(D67:E67)&lt;2,E67&lt;D67),"Проверьте даты",IF(OR(F67="Отменена",F67="Возвращена"),"",IF(SUMPRODUCT(($B$2:$B$500=B67)*($D$2:$D$500&lt;=E67)*($E$2:$E$500&gt;=D67)*($F$2:$F$500&lt;&gt;"Отменена")*($F$2:$F$500&lt;&gt;"Возвращена"))&gt;1,"Пересечение","ОК"))))</f>
        <v/>
      </c>
      <c r="H67" s="12">
        <f>IF(OR(B67="",D67=""),"",IF(AND(OR(F67="Выдана",F67="Возвращена"),SUMPRODUCT(($B$2:$B$500=B67)*($D$2:$D$500=D67)*(($F$2:$F$500="Выдана")+($F$2:$F$500="Возвращена")))&gt;1),"Дубль",""))</f>
        <v/>
      </c>
      <c r="I67" s="13">
        <f>IF(OR(B67="",COUNT(D67:E67)&lt;2,E67&lt;D67),"",IF(Настройки!$B$6=Настройки!$M$3,INT(E67)-INT(D67)+1,ROUNDUP(ROUND((E67-D67)*24,2)/24,0)))</f>
        <v/>
      </c>
      <c r="J67" s="14" t="n"/>
      <c r="K67" s="15">
        <f>IF(OR(I67="",J67=""),"",IF(F67="Отменена",0,ROUND(I67*J67,2)))</f>
        <v/>
      </c>
      <c r="L67" s="15">
        <f>IF(K67="","",ROUND(K67*Настройки!$B$5,2))</f>
        <v/>
      </c>
      <c r="M67" s="15">
        <f>IF(A67="","",SUMIFS(Начисления!$M$2:$M$1000,Начисления!$F$2:$F$1000,A67))</f>
        <v/>
      </c>
      <c r="N67" s="15">
        <f>IF(A67="","",SUM(K67:M67))</f>
        <v/>
      </c>
      <c r="O67" s="14" t="n"/>
      <c r="P67" s="15">
        <f>IF(A67="","",N67-O67)</f>
        <v/>
      </c>
      <c r="Q67" s="10" t="n"/>
      <c r="R67" s="10" t="n"/>
      <c r="S67" s="16">
        <f>IF(ISNUMBER(D67),D67+TIME(3,0,0),"")</f>
        <v/>
      </c>
      <c r="T67" s="10" t="n"/>
      <c r="U67" s="17">
        <f>IF(OR(B67="",COUNT(D67:E67)&lt;2,E67&lt;D67,F67="Отменена"),0,MAX(0,MIN(E67,Сводка!$B$4)-MAX(D67,Сводка!$B$2)))</f>
        <v/>
      </c>
    </row>
    <row r="68">
      <c r="A68" s="9" t="n"/>
      <c r="B68" s="10" t="n"/>
      <c r="C68" s="10" t="n"/>
      <c r="D68" s="11" t="n"/>
      <c r="E68" s="11" t="n"/>
      <c r="F68" s="10" t="n"/>
      <c r="G68" s="12">
        <f>IF(B68="","",IF(OR(COUNT(D68:E68)&lt;2,E68&lt;D68),"Проверьте даты",IF(OR(F68="Отменена",F68="Возвращена"),"",IF(SUMPRODUCT(($B$2:$B$500=B68)*($D$2:$D$500&lt;=E68)*($E$2:$E$500&gt;=D68)*($F$2:$F$500&lt;&gt;"Отменена")*($F$2:$F$500&lt;&gt;"Возвращена"))&gt;1,"Пересечение","ОК"))))</f>
        <v/>
      </c>
      <c r="H68" s="12">
        <f>IF(OR(B68="",D68=""),"",IF(AND(OR(F68="Выдана",F68="Возвращена"),SUMPRODUCT(($B$2:$B$500=B68)*($D$2:$D$500=D68)*(($F$2:$F$500="Выдана")+($F$2:$F$500="Возвращена")))&gt;1),"Дубль",""))</f>
        <v/>
      </c>
      <c r="I68" s="13">
        <f>IF(OR(B68="",COUNT(D68:E68)&lt;2,E68&lt;D68),"",IF(Настройки!$B$6=Настройки!$M$3,INT(E68)-INT(D68)+1,ROUNDUP(ROUND((E68-D68)*24,2)/24,0)))</f>
        <v/>
      </c>
      <c r="J68" s="14" t="n"/>
      <c r="K68" s="15">
        <f>IF(OR(I68="",J68=""),"",IF(F68="Отменена",0,ROUND(I68*J68,2)))</f>
        <v/>
      </c>
      <c r="L68" s="15">
        <f>IF(K68="","",ROUND(K68*Настройки!$B$5,2))</f>
        <v/>
      </c>
      <c r="M68" s="15">
        <f>IF(A68="","",SUMIFS(Начисления!$M$2:$M$1000,Начисления!$F$2:$F$1000,A68))</f>
        <v/>
      </c>
      <c r="N68" s="15">
        <f>IF(A68="","",SUM(K68:M68))</f>
        <v/>
      </c>
      <c r="O68" s="14" t="n"/>
      <c r="P68" s="15">
        <f>IF(A68="","",N68-O68)</f>
        <v/>
      </c>
      <c r="Q68" s="10" t="n"/>
      <c r="R68" s="10" t="n"/>
      <c r="S68" s="16">
        <f>IF(ISNUMBER(D68),D68+TIME(3,0,0),"")</f>
        <v/>
      </c>
      <c r="T68" s="10" t="n"/>
      <c r="U68" s="17">
        <f>IF(OR(B68="",COUNT(D68:E68)&lt;2,E68&lt;D68,F68="Отменена"),0,MAX(0,MIN(E68,Сводка!$B$4)-MAX(D68,Сводка!$B$2)))</f>
        <v/>
      </c>
    </row>
    <row r="69">
      <c r="A69" s="9" t="n"/>
      <c r="B69" s="10" t="n"/>
      <c r="C69" s="10" t="n"/>
      <c r="D69" s="11" t="n"/>
      <c r="E69" s="11" t="n"/>
      <c r="F69" s="10" t="n"/>
      <c r="G69" s="12">
        <f>IF(B69="","",IF(OR(COUNT(D69:E69)&lt;2,E69&lt;D69),"Проверьте даты",IF(OR(F69="Отменена",F69="Возвращена"),"",IF(SUMPRODUCT(($B$2:$B$500=B69)*($D$2:$D$500&lt;=E69)*($E$2:$E$500&gt;=D69)*($F$2:$F$500&lt;&gt;"Отменена")*($F$2:$F$500&lt;&gt;"Возвращена"))&gt;1,"Пересечение","ОК"))))</f>
        <v/>
      </c>
      <c r="H69" s="12">
        <f>IF(OR(B69="",D69=""),"",IF(AND(OR(F69="Выдана",F69="Возвращена"),SUMPRODUCT(($B$2:$B$500=B69)*($D$2:$D$500=D69)*(($F$2:$F$500="Выдана")+($F$2:$F$500="Возвращена")))&gt;1),"Дубль",""))</f>
        <v/>
      </c>
      <c r="I69" s="13">
        <f>IF(OR(B69="",COUNT(D69:E69)&lt;2,E69&lt;D69),"",IF(Настройки!$B$6=Настройки!$M$3,INT(E69)-INT(D69)+1,ROUNDUP(ROUND((E69-D69)*24,2)/24,0)))</f>
        <v/>
      </c>
      <c r="J69" s="14" t="n"/>
      <c r="K69" s="15">
        <f>IF(OR(I69="",J69=""),"",IF(F69="Отменена",0,ROUND(I69*J69,2)))</f>
        <v/>
      </c>
      <c r="L69" s="15">
        <f>IF(K69="","",ROUND(K69*Настройки!$B$5,2))</f>
        <v/>
      </c>
      <c r="M69" s="15">
        <f>IF(A69="","",SUMIFS(Начисления!$M$2:$M$1000,Начисления!$F$2:$F$1000,A69))</f>
        <v/>
      </c>
      <c r="N69" s="15">
        <f>IF(A69="","",SUM(K69:M69))</f>
        <v/>
      </c>
      <c r="O69" s="14" t="n"/>
      <c r="P69" s="15">
        <f>IF(A69="","",N69-O69)</f>
        <v/>
      </c>
      <c r="Q69" s="10" t="n"/>
      <c r="R69" s="10" t="n"/>
      <c r="S69" s="16">
        <f>IF(ISNUMBER(D69),D69+TIME(3,0,0),"")</f>
        <v/>
      </c>
      <c r="T69" s="10" t="n"/>
      <c r="U69" s="17">
        <f>IF(OR(B69="",COUNT(D69:E69)&lt;2,E69&lt;D69,F69="Отменена"),0,MAX(0,MIN(E69,Сводка!$B$4)-MAX(D69,Сводка!$B$2)))</f>
        <v/>
      </c>
    </row>
    <row r="70">
      <c r="A70" s="9" t="n"/>
      <c r="B70" s="10" t="n"/>
      <c r="C70" s="10" t="n"/>
      <c r="D70" s="11" t="n"/>
      <c r="E70" s="11" t="n"/>
      <c r="F70" s="10" t="n"/>
      <c r="G70" s="12">
        <f>IF(B70="","",IF(OR(COUNT(D70:E70)&lt;2,E70&lt;D70),"Проверьте даты",IF(OR(F70="Отменена",F70="Возвращена"),"",IF(SUMPRODUCT(($B$2:$B$500=B70)*($D$2:$D$500&lt;=E70)*($E$2:$E$500&gt;=D70)*($F$2:$F$500&lt;&gt;"Отменена")*($F$2:$F$500&lt;&gt;"Возвращена"))&gt;1,"Пересечение","ОК"))))</f>
        <v/>
      </c>
      <c r="H70" s="12">
        <f>IF(OR(B70="",D70=""),"",IF(AND(OR(F70="Выдана",F70="Возвращена"),SUMPRODUCT(($B$2:$B$500=B70)*($D$2:$D$500=D70)*(($F$2:$F$500="Выдана")+($F$2:$F$500="Возвращена")))&gt;1),"Дубль",""))</f>
        <v/>
      </c>
      <c r="I70" s="13">
        <f>IF(OR(B70="",COUNT(D70:E70)&lt;2,E70&lt;D70),"",IF(Настройки!$B$6=Настройки!$M$3,INT(E70)-INT(D70)+1,ROUNDUP(ROUND((E70-D70)*24,2)/24,0)))</f>
        <v/>
      </c>
      <c r="J70" s="14" t="n"/>
      <c r="K70" s="15">
        <f>IF(OR(I70="",J70=""),"",IF(F70="Отменена",0,ROUND(I70*J70,2)))</f>
        <v/>
      </c>
      <c r="L70" s="15">
        <f>IF(K70="","",ROUND(K70*Настройки!$B$5,2))</f>
        <v/>
      </c>
      <c r="M70" s="15">
        <f>IF(A70="","",SUMIFS(Начисления!$M$2:$M$1000,Начисления!$F$2:$F$1000,A70))</f>
        <v/>
      </c>
      <c r="N70" s="15">
        <f>IF(A70="","",SUM(K70:M70))</f>
        <v/>
      </c>
      <c r="O70" s="14" t="n"/>
      <c r="P70" s="15">
        <f>IF(A70="","",N70-O70)</f>
        <v/>
      </c>
      <c r="Q70" s="10" t="n"/>
      <c r="R70" s="10" t="n"/>
      <c r="S70" s="16">
        <f>IF(ISNUMBER(D70),D70+TIME(3,0,0),"")</f>
        <v/>
      </c>
      <c r="T70" s="10" t="n"/>
      <c r="U70" s="17">
        <f>IF(OR(B70="",COUNT(D70:E70)&lt;2,E70&lt;D70,F70="Отменена"),0,MAX(0,MIN(E70,Сводка!$B$4)-MAX(D70,Сводка!$B$2)))</f>
        <v/>
      </c>
    </row>
    <row r="71">
      <c r="A71" s="9" t="n"/>
      <c r="B71" s="10" t="n"/>
      <c r="C71" s="10" t="n"/>
      <c r="D71" s="11" t="n"/>
      <c r="E71" s="11" t="n"/>
      <c r="F71" s="10" t="n"/>
      <c r="G71" s="12">
        <f>IF(B71="","",IF(OR(COUNT(D71:E71)&lt;2,E71&lt;D71),"Проверьте даты",IF(OR(F71="Отменена",F71="Возвращена"),"",IF(SUMPRODUCT(($B$2:$B$500=B71)*($D$2:$D$500&lt;=E71)*($E$2:$E$500&gt;=D71)*($F$2:$F$500&lt;&gt;"Отменена")*($F$2:$F$500&lt;&gt;"Возвращена"))&gt;1,"Пересечение","ОК"))))</f>
        <v/>
      </c>
      <c r="H71" s="12">
        <f>IF(OR(B71="",D71=""),"",IF(AND(OR(F71="Выдана",F71="Возвращена"),SUMPRODUCT(($B$2:$B$500=B71)*($D$2:$D$500=D71)*(($F$2:$F$500="Выдана")+($F$2:$F$500="Возвращена")))&gt;1),"Дубль",""))</f>
        <v/>
      </c>
      <c r="I71" s="13">
        <f>IF(OR(B71="",COUNT(D71:E71)&lt;2,E71&lt;D71),"",IF(Настройки!$B$6=Настройки!$M$3,INT(E71)-INT(D71)+1,ROUNDUP(ROUND((E71-D71)*24,2)/24,0)))</f>
        <v/>
      </c>
      <c r="J71" s="14" t="n"/>
      <c r="K71" s="15">
        <f>IF(OR(I71="",J71=""),"",IF(F71="Отменена",0,ROUND(I71*J71,2)))</f>
        <v/>
      </c>
      <c r="L71" s="15">
        <f>IF(K71="","",ROUND(K71*Настройки!$B$5,2))</f>
        <v/>
      </c>
      <c r="M71" s="15">
        <f>IF(A71="","",SUMIFS(Начисления!$M$2:$M$1000,Начисления!$F$2:$F$1000,A71))</f>
        <v/>
      </c>
      <c r="N71" s="15">
        <f>IF(A71="","",SUM(K71:M71))</f>
        <v/>
      </c>
      <c r="O71" s="14" t="n"/>
      <c r="P71" s="15">
        <f>IF(A71="","",N71-O71)</f>
        <v/>
      </c>
      <c r="Q71" s="10" t="n"/>
      <c r="R71" s="10" t="n"/>
      <c r="S71" s="16">
        <f>IF(ISNUMBER(D71),D71+TIME(3,0,0),"")</f>
        <v/>
      </c>
      <c r="T71" s="10" t="n"/>
      <c r="U71" s="17">
        <f>IF(OR(B71="",COUNT(D71:E71)&lt;2,E71&lt;D71,F71="Отменена"),0,MAX(0,MIN(E71,Сводка!$B$4)-MAX(D71,Сводка!$B$2)))</f>
        <v/>
      </c>
    </row>
    <row r="72">
      <c r="A72" s="9" t="n"/>
      <c r="B72" s="10" t="n"/>
      <c r="C72" s="10" t="n"/>
      <c r="D72" s="11" t="n"/>
      <c r="E72" s="11" t="n"/>
      <c r="F72" s="10" t="n"/>
      <c r="G72" s="12">
        <f>IF(B72="","",IF(OR(COUNT(D72:E72)&lt;2,E72&lt;D72),"Проверьте даты",IF(OR(F72="Отменена",F72="Возвращена"),"",IF(SUMPRODUCT(($B$2:$B$500=B72)*($D$2:$D$500&lt;=E72)*($E$2:$E$500&gt;=D72)*($F$2:$F$500&lt;&gt;"Отменена")*($F$2:$F$500&lt;&gt;"Возвращена"))&gt;1,"Пересечение","ОК"))))</f>
        <v/>
      </c>
      <c r="H72" s="12">
        <f>IF(OR(B72="",D72=""),"",IF(AND(OR(F72="Выдана",F72="Возвращена"),SUMPRODUCT(($B$2:$B$500=B72)*($D$2:$D$500=D72)*(($F$2:$F$500="Выдана")+($F$2:$F$500="Возвращена")))&gt;1),"Дубль",""))</f>
        <v/>
      </c>
      <c r="I72" s="13">
        <f>IF(OR(B72="",COUNT(D72:E72)&lt;2,E72&lt;D72),"",IF(Настройки!$B$6=Настройки!$M$3,INT(E72)-INT(D72)+1,ROUNDUP(ROUND((E72-D72)*24,2)/24,0)))</f>
        <v/>
      </c>
      <c r="J72" s="14" t="n"/>
      <c r="K72" s="15">
        <f>IF(OR(I72="",J72=""),"",IF(F72="Отменена",0,ROUND(I72*J72,2)))</f>
        <v/>
      </c>
      <c r="L72" s="15">
        <f>IF(K72="","",ROUND(K72*Настройки!$B$5,2))</f>
        <v/>
      </c>
      <c r="M72" s="15">
        <f>IF(A72="","",SUMIFS(Начисления!$M$2:$M$1000,Начисления!$F$2:$F$1000,A72))</f>
        <v/>
      </c>
      <c r="N72" s="15">
        <f>IF(A72="","",SUM(K72:M72))</f>
        <v/>
      </c>
      <c r="O72" s="14" t="n"/>
      <c r="P72" s="15">
        <f>IF(A72="","",N72-O72)</f>
        <v/>
      </c>
      <c r="Q72" s="10" t="n"/>
      <c r="R72" s="10" t="n"/>
      <c r="S72" s="16">
        <f>IF(ISNUMBER(D72),D72+TIME(3,0,0),"")</f>
        <v/>
      </c>
      <c r="T72" s="10" t="n"/>
      <c r="U72" s="17">
        <f>IF(OR(B72="",COUNT(D72:E72)&lt;2,E72&lt;D72,F72="Отменена"),0,MAX(0,MIN(E72,Сводка!$B$4)-MAX(D72,Сводка!$B$2)))</f>
        <v/>
      </c>
    </row>
    <row r="73">
      <c r="A73" s="9" t="n"/>
      <c r="B73" s="10" t="n"/>
      <c r="C73" s="10" t="n"/>
      <c r="D73" s="11" t="n"/>
      <c r="E73" s="11" t="n"/>
      <c r="F73" s="10" t="n"/>
      <c r="G73" s="12">
        <f>IF(B73="","",IF(OR(COUNT(D73:E73)&lt;2,E73&lt;D73),"Проверьте даты",IF(OR(F73="Отменена",F73="Возвращена"),"",IF(SUMPRODUCT(($B$2:$B$500=B73)*($D$2:$D$500&lt;=E73)*($E$2:$E$500&gt;=D73)*($F$2:$F$500&lt;&gt;"Отменена")*($F$2:$F$500&lt;&gt;"Возвращена"))&gt;1,"Пересечение","ОК"))))</f>
        <v/>
      </c>
      <c r="H73" s="12">
        <f>IF(OR(B73="",D73=""),"",IF(AND(OR(F73="Выдана",F73="Возвращена"),SUMPRODUCT(($B$2:$B$500=B73)*($D$2:$D$500=D73)*(($F$2:$F$500="Выдана")+($F$2:$F$500="Возвращена")))&gt;1),"Дубль",""))</f>
        <v/>
      </c>
      <c r="I73" s="13">
        <f>IF(OR(B73="",COUNT(D73:E73)&lt;2,E73&lt;D73),"",IF(Настройки!$B$6=Настройки!$M$3,INT(E73)-INT(D73)+1,ROUNDUP(ROUND((E73-D73)*24,2)/24,0)))</f>
        <v/>
      </c>
      <c r="J73" s="14" t="n"/>
      <c r="K73" s="15">
        <f>IF(OR(I73="",J73=""),"",IF(F73="Отменена",0,ROUND(I73*J73,2)))</f>
        <v/>
      </c>
      <c r="L73" s="15">
        <f>IF(K73="","",ROUND(K73*Настройки!$B$5,2))</f>
        <v/>
      </c>
      <c r="M73" s="15">
        <f>IF(A73="","",SUMIFS(Начисления!$M$2:$M$1000,Начисления!$F$2:$F$1000,A73))</f>
        <v/>
      </c>
      <c r="N73" s="15">
        <f>IF(A73="","",SUM(K73:M73))</f>
        <v/>
      </c>
      <c r="O73" s="14" t="n"/>
      <c r="P73" s="15">
        <f>IF(A73="","",N73-O73)</f>
        <v/>
      </c>
      <c r="Q73" s="10" t="n"/>
      <c r="R73" s="10" t="n"/>
      <c r="S73" s="16">
        <f>IF(ISNUMBER(D73),D73+TIME(3,0,0),"")</f>
        <v/>
      </c>
      <c r="T73" s="10" t="n"/>
      <c r="U73" s="17">
        <f>IF(OR(B73="",COUNT(D73:E73)&lt;2,E73&lt;D73,F73="Отменена"),0,MAX(0,MIN(E73,Сводка!$B$4)-MAX(D73,Сводка!$B$2)))</f>
        <v/>
      </c>
    </row>
    <row r="74">
      <c r="A74" s="9" t="n"/>
      <c r="B74" s="10" t="n"/>
      <c r="C74" s="10" t="n"/>
      <c r="D74" s="11" t="n"/>
      <c r="E74" s="11" t="n"/>
      <c r="F74" s="10" t="n"/>
      <c r="G74" s="12">
        <f>IF(B74="","",IF(OR(COUNT(D74:E74)&lt;2,E74&lt;D74),"Проверьте даты",IF(OR(F74="Отменена",F74="Возвращена"),"",IF(SUMPRODUCT(($B$2:$B$500=B74)*($D$2:$D$500&lt;=E74)*($E$2:$E$500&gt;=D74)*($F$2:$F$500&lt;&gt;"Отменена")*($F$2:$F$500&lt;&gt;"Возвращена"))&gt;1,"Пересечение","ОК"))))</f>
        <v/>
      </c>
      <c r="H74" s="12">
        <f>IF(OR(B74="",D74=""),"",IF(AND(OR(F74="Выдана",F74="Возвращена"),SUMPRODUCT(($B$2:$B$500=B74)*($D$2:$D$500=D74)*(($F$2:$F$500="Выдана")+($F$2:$F$500="Возвращена")))&gt;1),"Дубль",""))</f>
        <v/>
      </c>
      <c r="I74" s="13">
        <f>IF(OR(B74="",COUNT(D74:E74)&lt;2,E74&lt;D74),"",IF(Настройки!$B$6=Настройки!$M$3,INT(E74)-INT(D74)+1,ROUNDUP(ROUND((E74-D74)*24,2)/24,0)))</f>
        <v/>
      </c>
      <c r="J74" s="14" t="n"/>
      <c r="K74" s="15">
        <f>IF(OR(I74="",J74=""),"",IF(F74="Отменена",0,ROUND(I74*J74,2)))</f>
        <v/>
      </c>
      <c r="L74" s="15">
        <f>IF(K74="","",ROUND(K74*Настройки!$B$5,2))</f>
        <v/>
      </c>
      <c r="M74" s="15">
        <f>IF(A74="","",SUMIFS(Начисления!$M$2:$M$1000,Начисления!$F$2:$F$1000,A74))</f>
        <v/>
      </c>
      <c r="N74" s="15">
        <f>IF(A74="","",SUM(K74:M74))</f>
        <v/>
      </c>
      <c r="O74" s="14" t="n"/>
      <c r="P74" s="15">
        <f>IF(A74="","",N74-O74)</f>
        <v/>
      </c>
      <c r="Q74" s="10" t="n"/>
      <c r="R74" s="10" t="n"/>
      <c r="S74" s="16">
        <f>IF(ISNUMBER(D74),D74+TIME(3,0,0),"")</f>
        <v/>
      </c>
      <c r="T74" s="10" t="n"/>
      <c r="U74" s="17">
        <f>IF(OR(B74="",COUNT(D74:E74)&lt;2,E74&lt;D74,F74="Отменена"),0,MAX(0,MIN(E74,Сводка!$B$4)-MAX(D74,Сводка!$B$2)))</f>
        <v/>
      </c>
    </row>
    <row r="75">
      <c r="A75" s="9" t="n"/>
      <c r="B75" s="10" t="n"/>
      <c r="C75" s="10" t="n"/>
      <c r="D75" s="11" t="n"/>
      <c r="E75" s="11" t="n"/>
      <c r="F75" s="10" t="n"/>
      <c r="G75" s="12">
        <f>IF(B75="","",IF(OR(COUNT(D75:E75)&lt;2,E75&lt;D75),"Проверьте даты",IF(OR(F75="Отменена",F75="Возвращена"),"",IF(SUMPRODUCT(($B$2:$B$500=B75)*($D$2:$D$500&lt;=E75)*($E$2:$E$500&gt;=D75)*($F$2:$F$500&lt;&gt;"Отменена")*($F$2:$F$500&lt;&gt;"Возвращена"))&gt;1,"Пересечение","ОК"))))</f>
        <v/>
      </c>
      <c r="H75" s="12">
        <f>IF(OR(B75="",D75=""),"",IF(AND(OR(F75="Выдана",F75="Возвращена"),SUMPRODUCT(($B$2:$B$500=B75)*($D$2:$D$500=D75)*(($F$2:$F$500="Выдана")+($F$2:$F$500="Возвращена")))&gt;1),"Дубль",""))</f>
        <v/>
      </c>
      <c r="I75" s="13">
        <f>IF(OR(B75="",COUNT(D75:E75)&lt;2,E75&lt;D75),"",IF(Настройки!$B$6=Настройки!$M$3,INT(E75)-INT(D75)+1,ROUNDUP(ROUND((E75-D75)*24,2)/24,0)))</f>
        <v/>
      </c>
      <c r="J75" s="14" t="n"/>
      <c r="K75" s="15">
        <f>IF(OR(I75="",J75=""),"",IF(F75="Отменена",0,ROUND(I75*J75,2)))</f>
        <v/>
      </c>
      <c r="L75" s="15">
        <f>IF(K75="","",ROUND(K75*Настройки!$B$5,2))</f>
        <v/>
      </c>
      <c r="M75" s="15">
        <f>IF(A75="","",SUMIFS(Начисления!$M$2:$M$1000,Начисления!$F$2:$F$1000,A75))</f>
        <v/>
      </c>
      <c r="N75" s="15">
        <f>IF(A75="","",SUM(K75:M75))</f>
        <v/>
      </c>
      <c r="O75" s="14" t="n"/>
      <c r="P75" s="15">
        <f>IF(A75="","",N75-O75)</f>
        <v/>
      </c>
      <c r="Q75" s="10" t="n"/>
      <c r="R75" s="10" t="n"/>
      <c r="S75" s="16">
        <f>IF(ISNUMBER(D75),D75+TIME(3,0,0),"")</f>
        <v/>
      </c>
      <c r="T75" s="10" t="n"/>
      <c r="U75" s="17">
        <f>IF(OR(B75="",COUNT(D75:E75)&lt;2,E75&lt;D75,F75="Отменена"),0,MAX(0,MIN(E75,Сводка!$B$4)-MAX(D75,Сводка!$B$2)))</f>
        <v/>
      </c>
    </row>
    <row r="76">
      <c r="A76" s="9" t="n"/>
      <c r="B76" s="10" t="n"/>
      <c r="C76" s="10" t="n"/>
      <c r="D76" s="11" t="n"/>
      <c r="E76" s="11" t="n"/>
      <c r="F76" s="10" t="n"/>
      <c r="G76" s="12">
        <f>IF(B76="","",IF(OR(COUNT(D76:E76)&lt;2,E76&lt;D76),"Проверьте даты",IF(OR(F76="Отменена",F76="Возвращена"),"",IF(SUMPRODUCT(($B$2:$B$500=B76)*($D$2:$D$500&lt;=E76)*($E$2:$E$500&gt;=D76)*($F$2:$F$500&lt;&gt;"Отменена")*($F$2:$F$500&lt;&gt;"Возвращена"))&gt;1,"Пересечение","ОК"))))</f>
        <v/>
      </c>
      <c r="H76" s="12">
        <f>IF(OR(B76="",D76=""),"",IF(AND(OR(F76="Выдана",F76="Возвращена"),SUMPRODUCT(($B$2:$B$500=B76)*($D$2:$D$500=D76)*(($F$2:$F$500="Выдана")+($F$2:$F$500="Возвращена")))&gt;1),"Дубль",""))</f>
        <v/>
      </c>
      <c r="I76" s="13">
        <f>IF(OR(B76="",COUNT(D76:E76)&lt;2,E76&lt;D76),"",IF(Настройки!$B$6=Настройки!$M$3,INT(E76)-INT(D76)+1,ROUNDUP(ROUND((E76-D76)*24,2)/24,0)))</f>
        <v/>
      </c>
      <c r="J76" s="14" t="n"/>
      <c r="K76" s="15">
        <f>IF(OR(I76="",J76=""),"",IF(F76="Отменена",0,ROUND(I76*J76,2)))</f>
        <v/>
      </c>
      <c r="L76" s="15">
        <f>IF(K76="","",ROUND(K76*Настройки!$B$5,2))</f>
        <v/>
      </c>
      <c r="M76" s="15">
        <f>IF(A76="","",SUMIFS(Начисления!$M$2:$M$1000,Начисления!$F$2:$F$1000,A76))</f>
        <v/>
      </c>
      <c r="N76" s="15">
        <f>IF(A76="","",SUM(K76:M76))</f>
        <v/>
      </c>
      <c r="O76" s="14" t="n"/>
      <c r="P76" s="15">
        <f>IF(A76="","",N76-O76)</f>
        <v/>
      </c>
      <c r="Q76" s="10" t="n"/>
      <c r="R76" s="10" t="n"/>
      <c r="S76" s="16">
        <f>IF(ISNUMBER(D76),D76+TIME(3,0,0),"")</f>
        <v/>
      </c>
      <c r="T76" s="10" t="n"/>
      <c r="U76" s="17">
        <f>IF(OR(B76="",COUNT(D76:E76)&lt;2,E76&lt;D76,F76="Отменена"),0,MAX(0,MIN(E76,Сводка!$B$4)-MAX(D76,Сводка!$B$2)))</f>
        <v/>
      </c>
    </row>
    <row r="77">
      <c r="A77" s="9" t="n"/>
      <c r="B77" s="10" t="n"/>
      <c r="C77" s="10" t="n"/>
      <c r="D77" s="11" t="n"/>
      <c r="E77" s="11" t="n"/>
      <c r="F77" s="10" t="n"/>
      <c r="G77" s="12">
        <f>IF(B77="","",IF(OR(COUNT(D77:E77)&lt;2,E77&lt;D77),"Проверьте даты",IF(OR(F77="Отменена",F77="Возвращена"),"",IF(SUMPRODUCT(($B$2:$B$500=B77)*($D$2:$D$500&lt;=E77)*($E$2:$E$500&gt;=D77)*($F$2:$F$500&lt;&gt;"Отменена")*($F$2:$F$500&lt;&gt;"Возвращена"))&gt;1,"Пересечение","ОК"))))</f>
        <v/>
      </c>
      <c r="H77" s="12">
        <f>IF(OR(B77="",D77=""),"",IF(AND(OR(F77="Выдана",F77="Возвращена"),SUMPRODUCT(($B$2:$B$500=B77)*($D$2:$D$500=D77)*(($F$2:$F$500="Выдана")+($F$2:$F$500="Возвращена")))&gt;1),"Дубль",""))</f>
        <v/>
      </c>
      <c r="I77" s="13">
        <f>IF(OR(B77="",COUNT(D77:E77)&lt;2,E77&lt;D77),"",IF(Настройки!$B$6=Настройки!$M$3,INT(E77)-INT(D77)+1,ROUNDUP(ROUND((E77-D77)*24,2)/24,0)))</f>
        <v/>
      </c>
      <c r="J77" s="14" t="n"/>
      <c r="K77" s="15">
        <f>IF(OR(I77="",J77=""),"",IF(F77="Отменена",0,ROUND(I77*J77,2)))</f>
        <v/>
      </c>
      <c r="L77" s="15">
        <f>IF(K77="","",ROUND(K77*Настройки!$B$5,2))</f>
        <v/>
      </c>
      <c r="M77" s="15">
        <f>IF(A77="","",SUMIFS(Начисления!$M$2:$M$1000,Начисления!$F$2:$F$1000,A77))</f>
        <v/>
      </c>
      <c r="N77" s="15">
        <f>IF(A77="","",SUM(K77:M77))</f>
        <v/>
      </c>
      <c r="O77" s="14" t="n"/>
      <c r="P77" s="15">
        <f>IF(A77="","",N77-O77)</f>
        <v/>
      </c>
      <c r="Q77" s="10" t="n"/>
      <c r="R77" s="10" t="n"/>
      <c r="S77" s="16">
        <f>IF(ISNUMBER(D77),D77+TIME(3,0,0),"")</f>
        <v/>
      </c>
      <c r="T77" s="10" t="n"/>
      <c r="U77" s="17">
        <f>IF(OR(B77="",COUNT(D77:E77)&lt;2,E77&lt;D77,F77="Отменена"),0,MAX(0,MIN(E77,Сводка!$B$4)-MAX(D77,Сводка!$B$2)))</f>
        <v/>
      </c>
    </row>
    <row r="78">
      <c r="A78" s="9" t="n"/>
      <c r="B78" s="10" t="n"/>
      <c r="C78" s="10" t="n"/>
      <c r="D78" s="11" t="n"/>
      <c r="E78" s="11" t="n"/>
      <c r="F78" s="10" t="n"/>
      <c r="G78" s="12">
        <f>IF(B78="","",IF(OR(COUNT(D78:E78)&lt;2,E78&lt;D78),"Проверьте даты",IF(OR(F78="Отменена",F78="Возвращена"),"",IF(SUMPRODUCT(($B$2:$B$500=B78)*($D$2:$D$500&lt;=E78)*($E$2:$E$500&gt;=D78)*($F$2:$F$500&lt;&gt;"Отменена")*($F$2:$F$500&lt;&gt;"Возвращена"))&gt;1,"Пересечение","ОК"))))</f>
        <v/>
      </c>
      <c r="H78" s="12">
        <f>IF(OR(B78="",D78=""),"",IF(AND(OR(F78="Выдана",F78="Возвращена"),SUMPRODUCT(($B$2:$B$500=B78)*($D$2:$D$500=D78)*(($F$2:$F$500="Выдана")+($F$2:$F$500="Возвращена")))&gt;1),"Дубль",""))</f>
        <v/>
      </c>
      <c r="I78" s="13">
        <f>IF(OR(B78="",COUNT(D78:E78)&lt;2,E78&lt;D78),"",IF(Настройки!$B$6=Настройки!$M$3,INT(E78)-INT(D78)+1,ROUNDUP(ROUND((E78-D78)*24,2)/24,0)))</f>
        <v/>
      </c>
      <c r="J78" s="14" t="n"/>
      <c r="K78" s="15">
        <f>IF(OR(I78="",J78=""),"",IF(F78="Отменена",0,ROUND(I78*J78,2)))</f>
        <v/>
      </c>
      <c r="L78" s="15">
        <f>IF(K78="","",ROUND(K78*Настройки!$B$5,2))</f>
        <v/>
      </c>
      <c r="M78" s="15">
        <f>IF(A78="","",SUMIFS(Начисления!$M$2:$M$1000,Начисления!$F$2:$F$1000,A78))</f>
        <v/>
      </c>
      <c r="N78" s="15">
        <f>IF(A78="","",SUM(K78:M78))</f>
        <v/>
      </c>
      <c r="O78" s="14" t="n"/>
      <c r="P78" s="15">
        <f>IF(A78="","",N78-O78)</f>
        <v/>
      </c>
      <c r="Q78" s="10" t="n"/>
      <c r="R78" s="10" t="n"/>
      <c r="S78" s="16">
        <f>IF(ISNUMBER(D78),D78+TIME(3,0,0),"")</f>
        <v/>
      </c>
      <c r="T78" s="10" t="n"/>
      <c r="U78" s="17">
        <f>IF(OR(B78="",COUNT(D78:E78)&lt;2,E78&lt;D78,F78="Отменена"),0,MAX(0,MIN(E78,Сводка!$B$4)-MAX(D78,Сводка!$B$2)))</f>
        <v/>
      </c>
    </row>
    <row r="79">
      <c r="A79" s="9" t="n"/>
      <c r="B79" s="10" t="n"/>
      <c r="C79" s="10" t="n"/>
      <c r="D79" s="11" t="n"/>
      <c r="E79" s="11" t="n"/>
      <c r="F79" s="10" t="n"/>
      <c r="G79" s="12">
        <f>IF(B79="","",IF(OR(COUNT(D79:E79)&lt;2,E79&lt;D79),"Проверьте даты",IF(OR(F79="Отменена",F79="Возвращена"),"",IF(SUMPRODUCT(($B$2:$B$500=B79)*($D$2:$D$500&lt;=E79)*($E$2:$E$500&gt;=D79)*($F$2:$F$500&lt;&gt;"Отменена")*($F$2:$F$500&lt;&gt;"Возвращена"))&gt;1,"Пересечение","ОК"))))</f>
        <v/>
      </c>
      <c r="H79" s="12">
        <f>IF(OR(B79="",D79=""),"",IF(AND(OR(F79="Выдана",F79="Возвращена"),SUMPRODUCT(($B$2:$B$500=B79)*($D$2:$D$500=D79)*(($F$2:$F$500="Выдана")+($F$2:$F$500="Возвращена")))&gt;1),"Дубль",""))</f>
        <v/>
      </c>
      <c r="I79" s="13">
        <f>IF(OR(B79="",COUNT(D79:E79)&lt;2,E79&lt;D79),"",IF(Настройки!$B$6=Настройки!$M$3,INT(E79)-INT(D79)+1,ROUNDUP(ROUND((E79-D79)*24,2)/24,0)))</f>
        <v/>
      </c>
      <c r="J79" s="14" t="n"/>
      <c r="K79" s="15">
        <f>IF(OR(I79="",J79=""),"",IF(F79="Отменена",0,ROUND(I79*J79,2)))</f>
        <v/>
      </c>
      <c r="L79" s="15">
        <f>IF(K79="","",ROUND(K79*Настройки!$B$5,2))</f>
        <v/>
      </c>
      <c r="M79" s="15">
        <f>IF(A79="","",SUMIFS(Начисления!$M$2:$M$1000,Начисления!$F$2:$F$1000,A79))</f>
        <v/>
      </c>
      <c r="N79" s="15">
        <f>IF(A79="","",SUM(K79:M79))</f>
        <v/>
      </c>
      <c r="O79" s="14" t="n"/>
      <c r="P79" s="15">
        <f>IF(A79="","",N79-O79)</f>
        <v/>
      </c>
      <c r="Q79" s="10" t="n"/>
      <c r="R79" s="10" t="n"/>
      <c r="S79" s="16">
        <f>IF(ISNUMBER(D79),D79+TIME(3,0,0),"")</f>
        <v/>
      </c>
      <c r="T79" s="10" t="n"/>
      <c r="U79" s="17">
        <f>IF(OR(B79="",COUNT(D79:E79)&lt;2,E79&lt;D79,F79="Отменена"),0,MAX(0,MIN(E79,Сводка!$B$4)-MAX(D79,Сводка!$B$2)))</f>
        <v/>
      </c>
    </row>
    <row r="80">
      <c r="A80" s="9" t="n"/>
      <c r="B80" s="10" t="n"/>
      <c r="C80" s="10" t="n"/>
      <c r="D80" s="11" t="n"/>
      <c r="E80" s="11" t="n"/>
      <c r="F80" s="10" t="n"/>
      <c r="G80" s="12">
        <f>IF(B80="","",IF(OR(COUNT(D80:E80)&lt;2,E80&lt;D80),"Проверьте даты",IF(OR(F80="Отменена",F80="Возвращена"),"",IF(SUMPRODUCT(($B$2:$B$500=B80)*($D$2:$D$500&lt;=E80)*($E$2:$E$500&gt;=D80)*($F$2:$F$500&lt;&gt;"Отменена")*($F$2:$F$500&lt;&gt;"Возвращена"))&gt;1,"Пересечение","ОК"))))</f>
        <v/>
      </c>
      <c r="H80" s="12">
        <f>IF(OR(B80="",D80=""),"",IF(AND(OR(F80="Выдана",F80="Возвращена"),SUMPRODUCT(($B$2:$B$500=B80)*($D$2:$D$500=D80)*(($F$2:$F$500="Выдана")+($F$2:$F$500="Возвращена")))&gt;1),"Дубль",""))</f>
        <v/>
      </c>
      <c r="I80" s="13">
        <f>IF(OR(B80="",COUNT(D80:E80)&lt;2,E80&lt;D80),"",IF(Настройки!$B$6=Настройки!$M$3,INT(E80)-INT(D80)+1,ROUNDUP(ROUND((E80-D80)*24,2)/24,0)))</f>
        <v/>
      </c>
      <c r="J80" s="14" t="n"/>
      <c r="K80" s="15">
        <f>IF(OR(I80="",J80=""),"",IF(F80="Отменена",0,ROUND(I80*J80,2)))</f>
        <v/>
      </c>
      <c r="L80" s="15">
        <f>IF(K80="","",ROUND(K80*Настройки!$B$5,2))</f>
        <v/>
      </c>
      <c r="M80" s="15">
        <f>IF(A80="","",SUMIFS(Начисления!$M$2:$M$1000,Начисления!$F$2:$F$1000,A80))</f>
        <v/>
      </c>
      <c r="N80" s="15">
        <f>IF(A80="","",SUM(K80:M80))</f>
        <v/>
      </c>
      <c r="O80" s="14" t="n"/>
      <c r="P80" s="15">
        <f>IF(A80="","",N80-O80)</f>
        <v/>
      </c>
      <c r="Q80" s="10" t="n"/>
      <c r="R80" s="10" t="n"/>
      <c r="S80" s="16">
        <f>IF(ISNUMBER(D80),D80+TIME(3,0,0),"")</f>
        <v/>
      </c>
      <c r="T80" s="10" t="n"/>
      <c r="U80" s="17">
        <f>IF(OR(B80="",COUNT(D80:E80)&lt;2,E80&lt;D80,F80="Отменена"),0,MAX(0,MIN(E80,Сводка!$B$4)-MAX(D80,Сводка!$B$2)))</f>
        <v/>
      </c>
    </row>
    <row r="81">
      <c r="A81" s="9" t="n"/>
      <c r="B81" s="10" t="n"/>
      <c r="C81" s="10" t="n"/>
      <c r="D81" s="11" t="n"/>
      <c r="E81" s="11" t="n"/>
      <c r="F81" s="10" t="n"/>
      <c r="G81" s="12">
        <f>IF(B81="","",IF(OR(COUNT(D81:E81)&lt;2,E81&lt;D81),"Проверьте даты",IF(OR(F81="Отменена",F81="Возвращена"),"",IF(SUMPRODUCT(($B$2:$B$500=B81)*($D$2:$D$500&lt;=E81)*($E$2:$E$500&gt;=D81)*($F$2:$F$500&lt;&gt;"Отменена")*($F$2:$F$500&lt;&gt;"Возвращена"))&gt;1,"Пересечение","ОК"))))</f>
        <v/>
      </c>
      <c r="H81" s="12">
        <f>IF(OR(B81="",D81=""),"",IF(AND(OR(F81="Выдана",F81="Возвращена"),SUMPRODUCT(($B$2:$B$500=B81)*($D$2:$D$500=D81)*(($F$2:$F$500="Выдана")+($F$2:$F$500="Возвращена")))&gt;1),"Дубль",""))</f>
        <v/>
      </c>
      <c r="I81" s="13">
        <f>IF(OR(B81="",COUNT(D81:E81)&lt;2,E81&lt;D81),"",IF(Настройки!$B$6=Настройки!$M$3,INT(E81)-INT(D81)+1,ROUNDUP(ROUND((E81-D81)*24,2)/24,0)))</f>
        <v/>
      </c>
      <c r="J81" s="14" t="n"/>
      <c r="K81" s="15">
        <f>IF(OR(I81="",J81=""),"",IF(F81="Отменена",0,ROUND(I81*J81,2)))</f>
        <v/>
      </c>
      <c r="L81" s="15">
        <f>IF(K81="","",ROUND(K81*Настройки!$B$5,2))</f>
        <v/>
      </c>
      <c r="M81" s="15">
        <f>IF(A81="","",SUMIFS(Начисления!$M$2:$M$1000,Начисления!$F$2:$F$1000,A81))</f>
        <v/>
      </c>
      <c r="N81" s="15">
        <f>IF(A81="","",SUM(K81:M81))</f>
        <v/>
      </c>
      <c r="O81" s="14" t="n"/>
      <c r="P81" s="15">
        <f>IF(A81="","",N81-O81)</f>
        <v/>
      </c>
      <c r="Q81" s="10" t="n"/>
      <c r="R81" s="10" t="n"/>
      <c r="S81" s="16">
        <f>IF(ISNUMBER(D81),D81+TIME(3,0,0),"")</f>
        <v/>
      </c>
      <c r="T81" s="10" t="n"/>
      <c r="U81" s="17">
        <f>IF(OR(B81="",COUNT(D81:E81)&lt;2,E81&lt;D81,F81="Отменена"),0,MAX(0,MIN(E81,Сводка!$B$4)-MAX(D81,Сводка!$B$2)))</f>
        <v/>
      </c>
    </row>
    <row r="82">
      <c r="A82" s="9" t="n"/>
      <c r="B82" s="10" t="n"/>
      <c r="C82" s="10" t="n"/>
      <c r="D82" s="11" t="n"/>
      <c r="E82" s="11" t="n"/>
      <c r="F82" s="10" t="n"/>
      <c r="G82" s="12">
        <f>IF(B82="","",IF(OR(COUNT(D82:E82)&lt;2,E82&lt;D82),"Проверьте даты",IF(OR(F82="Отменена",F82="Возвращена"),"",IF(SUMPRODUCT(($B$2:$B$500=B82)*($D$2:$D$500&lt;=E82)*($E$2:$E$500&gt;=D82)*($F$2:$F$500&lt;&gt;"Отменена")*($F$2:$F$500&lt;&gt;"Возвращена"))&gt;1,"Пересечение","ОК"))))</f>
        <v/>
      </c>
      <c r="H82" s="12">
        <f>IF(OR(B82="",D82=""),"",IF(AND(OR(F82="Выдана",F82="Возвращена"),SUMPRODUCT(($B$2:$B$500=B82)*($D$2:$D$500=D82)*(($F$2:$F$500="Выдана")+($F$2:$F$500="Возвращена")))&gt;1),"Дубль",""))</f>
        <v/>
      </c>
      <c r="I82" s="13">
        <f>IF(OR(B82="",COUNT(D82:E82)&lt;2,E82&lt;D82),"",IF(Настройки!$B$6=Настройки!$M$3,INT(E82)-INT(D82)+1,ROUNDUP(ROUND((E82-D82)*24,2)/24,0)))</f>
        <v/>
      </c>
      <c r="J82" s="14" t="n"/>
      <c r="K82" s="15">
        <f>IF(OR(I82="",J82=""),"",IF(F82="Отменена",0,ROUND(I82*J82,2)))</f>
        <v/>
      </c>
      <c r="L82" s="15">
        <f>IF(K82="","",ROUND(K82*Настройки!$B$5,2))</f>
        <v/>
      </c>
      <c r="M82" s="15">
        <f>IF(A82="","",SUMIFS(Начисления!$M$2:$M$1000,Начисления!$F$2:$F$1000,A82))</f>
        <v/>
      </c>
      <c r="N82" s="15">
        <f>IF(A82="","",SUM(K82:M82))</f>
        <v/>
      </c>
      <c r="O82" s="14" t="n"/>
      <c r="P82" s="15">
        <f>IF(A82="","",N82-O82)</f>
        <v/>
      </c>
      <c r="Q82" s="10" t="n"/>
      <c r="R82" s="10" t="n"/>
      <c r="S82" s="16">
        <f>IF(ISNUMBER(D82),D82+TIME(3,0,0),"")</f>
        <v/>
      </c>
      <c r="T82" s="10" t="n"/>
      <c r="U82" s="17">
        <f>IF(OR(B82="",COUNT(D82:E82)&lt;2,E82&lt;D82,F82="Отменена"),0,MAX(0,MIN(E82,Сводка!$B$4)-MAX(D82,Сводка!$B$2)))</f>
        <v/>
      </c>
    </row>
    <row r="83">
      <c r="A83" s="9" t="n"/>
      <c r="B83" s="10" t="n"/>
      <c r="C83" s="10" t="n"/>
      <c r="D83" s="11" t="n"/>
      <c r="E83" s="11" t="n"/>
      <c r="F83" s="10" t="n"/>
      <c r="G83" s="12">
        <f>IF(B83="","",IF(OR(COUNT(D83:E83)&lt;2,E83&lt;D83),"Проверьте даты",IF(OR(F83="Отменена",F83="Возвращена"),"",IF(SUMPRODUCT(($B$2:$B$500=B83)*($D$2:$D$500&lt;=E83)*($E$2:$E$500&gt;=D83)*($F$2:$F$500&lt;&gt;"Отменена")*($F$2:$F$500&lt;&gt;"Возвращена"))&gt;1,"Пересечение","ОК"))))</f>
        <v/>
      </c>
      <c r="H83" s="12">
        <f>IF(OR(B83="",D83=""),"",IF(AND(OR(F83="Выдана",F83="Возвращена"),SUMPRODUCT(($B$2:$B$500=B83)*($D$2:$D$500=D83)*(($F$2:$F$500="Выдана")+($F$2:$F$500="Возвращена")))&gt;1),"Дубль",""))</f>
        <v/>
      </c>
      <c r="I83" s="13">
        <f>IF(OR(B83="",COUNT(D83:E83)&lt;2,E83&lt;D83),"",IF(Настройки!$B$6=Настройки!$M$3,INT(E83)-INT(D83)+1,ROUNDUP(ROUND((E83-D83)*24,2)/24,0)))</f>
        <v/>
      </c>
      <c r="J83" s="14" t="n"/>
      <c r="K83" s="15">
        <f>IF(OR(I83="",J83=""),"",IF(F83="Отменена",0,ROUND(I83*J83,2)))</f>
        <v/>
      </c>
      <c r="L83" s="15">
        <f>IF(K83="","",ROUND(K83*Настройки!$B$5,2))</f>
        <v/>
      </c>
      <c r="M83" s="15">
        <f>IF(A83="","",SUMIFS(Начисления!$M$2:$M$1000,Начисления!$F$2:$F$1000,A83))</f>
        <v/>
      </c>
      <c r="N83" s="15">
        <f>IF(A83="","",SUM(K83:M83))</f>
        <v/>
      </c>
      <c r="O83" s="14" t="n"/>
      <c r="P83" s="15">
        <f>IF(A83="","",N83-O83)</f>
        <v/>
      </c>
      <c r="Q83" s="10" t="n"/>
      <c r="R83" s="10" t="n"/>
      <c r="S83" s="16">
        <f>IF(ISNUMBER(D83),D83+TIME(3,0,0),"")</f>
        <v/>
      </c>
      <c r="T83" s="10" t="n"/>
      <c r="U83" s="17">
        <f>IF(OR(B83="",COUNT(D83:E83)&lt;2,E83&lt;D83,F83="Отменена"),0,MAX(0,MIN(E83,Сводка!$B$4)-MAX(D83,Сводка!$B$2)))</f>
        <v/>
      </c>
    </row>
    <row r="84">
      <c r="A84" s="9" t="n"/>
      <c r="B84" s="10" t="n"/>
      <c r="C84" s="10" t="n"/>
      <c r="D84" s="11" t="n"/>
      <c r="E84" s="11" t="n"/>
      <c r="F84" s="10" t="n"/>
      <c r="G84" s="12">
        <f>IF(B84="","",IF(OR(COUNT(D84:E84)&lt;2,E84&lt;D84),"Проверьте даты",IF(OR(F84="Отменена",F84="Возвращена"),"",IF(SUMPRODUCT(($B$2:$B$500=B84)*($D$2:$D$500&lt;=E84)*($E$2:$E$500&gt;=D84)*($F$2:$F$500&lt;&gt;"Отменена")*($F$2:$F$500&lt;&gt;"Возвращена"))&gt;1,"Пересечение","ОК"))))</f>
        <v/>
      </c>
      <c r="H84" s="12">
        <f>IF(OR(B84="",D84=""),"",IF(AND(OR(F84="Выдана",F84="Возвращена"),SUMPRODUCT(($B$2:$B$500=B84)*($D$2:$D$500=D84)*(($F$2:$F$500="Выдана")+($F$2:$F$500="Возвращена")))&gt;1),"Дубль",""))</f>
        <v/>
      </c>
      <c r="I84" s="13">
        <f>IF(OR(B84="",COUNT(D84:E84)&lt;2,E84&lt;D84),"",IF(Настройки!$B$6=Настройки!$M$3,INT(E84)-INT(D84)+1,ROUNDUP(ROUND((E84-D84)*24,2)/24,0)))</f>
        <v/>
      </c>
      <c r="J84" s="14" t="n"/>
      <c r="K84" s="15">
        <f>IF(OR(I84="",J84=""),"",IF(F84="Отменена",0,ROUND(I84*J84,2)))</f>
        <v/>
      </c>
      <c r="L84" s="15">
        <f>IF(K84="","",ROUND(K84*Настройки!$B$5,2))</f>
        <v/>
      </c>
      <c r="M84" s="15">
        <f>IF(A84="","",SUMIFS(Начисления!$M$2:$M$1000,Начисления!$F$2:$F$1000,A84))</f>
        <v/>
      </c>
      <c r="N84" s="15">
        <f>IF(A84="","",SUM(K84:M84))</f>
        <v/>
      </c>
      <c r="O84" s="14" t="n"/>
      <c r="P84" s="15">
        <f>IF(A84="","",N84-O84)</f>
        <v/>
      </c>
      <c r="Q84" s="10" t="n"/>
      <c r="R84" s="10" t="n"/>
      <c r="S84" s="16">
        <f>IF(ISNUMBER(D84),D84+TIME(3,0,0),"")</f>
        <v/>
      </c>
      <c r="T84" s="10" t="n"/>
      <c r="U84" s="17">
        <f>IF(OR(B84="",COUNT(D84:E84)&lt;2,E84&lt;D84,F84="Отменена"),0,MAX(0,MIN(E84,Сводка!$B$4)-MAX(D84,Сводка!$B$2)))</f>
        <v/>
      </c>
    </row>
    <row r="85">
      <c r="A85" s="9" t="n"/>
      <c r="B85" s="10" t="n"/>
      <c r="C85" s="10" t="n"/>
      <c r="D85" s="11" t="n"/>
      <c r="E85" s="11" t="n"/>
      <c r="F85" s="10" t="n"/>
      <c r="G85" s="12">
        <f>IF(B85="","",IF(OR(COUNT(D85:E85)&lt;2,E85&lt;D85),"Проверьте даты",IF(OR(F85="Отменена",F85="Возвращена"),"",IF(SUMPRODUCT(($B$2:$B$500=B85)*($D$2:$D$500&lt;=E85)*($E$2:$E$500&gt;=D85)*($F$2:$F$500&lt;&gt;"Отменена")*($F$2:$F$500&lt;&gt;"Возвращена"))&gt;1,"Пересечение","ОК"))))</f>
        <v/>
      </c>
      <c r="H85" s="12">
        <f>IF(OR(B85="",D85=""),"",IF(AND(OR(F85="Выдана",F85="Возвращена"),SUMPRODUCT(($B$2:$B$500=B85)*($D$2:$D$500=D85)*(($F$2:$F$500="Выдана")+($F$2:$F$500="Возвращена")))&gt;1),"Дубль",""))</f>
        <v/>
      </c>
      <c r="I85" s="13">
        <f>IF(OR(B85="",COUNT(D85:E85)&lt;2,E85&lt;D85),"",IF(Настройки!$B$6=Настройки!$M$3,INT(E85)-INT(D85)+1,ROUNDUP(ROUND((E85-D85)*24,2)/24,0)))</f>
        <v/>
      </c>
      <c r="J85" s="14" t="n"/>
      <c r="K85" s="15">
        <f>IF(OR(I85="",J85=""),"",IF(F85="Отменена",0,ROUND(I85*J85,2)))</f>
        <v/>
      </c>
      <c r="L85" s="15">
        <f>IF(K85="","",ROUND(K85*Настройки!$B$5,2))</f>
        <v/>
      </c>
      <c r="M85" s="15">
        <f>IF(A85="","",SUMIFS(Начисления!$M$2:$M$1000,Начисления!$F$2:$F$1000,A85))</f>
        <v/>
      </c>
      <c r="N85" s="15">
        <f>IF(A85="","",SUM(K85:M85))</f>
        <v/>
      </c>
      <c r="O85" s="14" t="n"/>
      <c r="P85" s="15">
        <f>IF(A85="","",N85-O85)</f>
        <v/>
      </c>
      <c r="Q85" s="10" t="n"/>
      <c r="R85" s="10" t="n"/>
      <c r="S85" s="16">
        <f>IF(ISNUMBER(D85),D85+TIME(3,0,0),"")</f>
        <v/>
      </c>
      <c r="T85" s="10" t="n"/>
      <c r="U85" s="17">
        <f>IF(OR(B85="",COUNT(D85:E85)&lt;2,E85&lt;D85,F85="Отменена"),0,MAX(0,MIN(E85,Сводка!$B$4)-MAX(D85,Сводка!$B$2)))</f>
        <v/>
      </c>
    </row>
    <row r="86">
      <c r="A86" s="9" t="n"/>
      <c r="B86" s="10" t="n"/>
      <c r="C86" s="10" t="n"/>
      <c r="D86" s="11" t="n"/>
      <c r="E86" s="11" t="n"/>
      <c r="F86" s="10" t="n"/>
      <c r="G86" s="12">
        <f>IF(B86="","",IF(OR(COUNT(D86:E86)&lt;2,E86&lt;D86),"Проверьте даты",IF(OR(F86="Отменена",F86="Возвращена"),"",IF(SUMPRODUCT(($B$2:$B$500=B86)*($D$2:$D$500&lt;=E86)*($E$2:$E$500&gt;=D86)*($F$2:$F$500&lt;&gt;"Отменена")*($F$2:$F$500&lt;&gt;"Возвращена"))&gt;1,"Пересечение","ОК"))))</f>
        <v/>
      </c>
      <c r="H86" s="12">
        <f>IF(OR(B86="",D86=""),"",IF(AND(OR(F86="Выдана",F86="Возвращена"),SUMPRODUCT(($B$2:$B$500=B86)*($D$2:$D$500=D86)*(($F$2:$F$500="Выдана")+($F$2:$F$500="Возвращена")))&gt;1),"Дубль",""))</f>
        <v/>
      </c>
      <c r="I86" s="13">
        <f>IF(OR(B86="",COUNT(D86:E86)&lt;2,E86&lt;D86),"",IF(Настройки!$B$6=Настройки!$M$3,INT(E86)-INT(D86)+1,ROUNDUP(ROUND((E86-D86)*24,2)/24,0)))</f>
        <v/>
      </c>
      <c r="J86" s="14" t="n"/>
      <c r="K86" s="15">
        <f>IF(OR(I86="",J86=""),"",IF(F86="Отменена",0,ROUND(I86*J86,2)))</f>
        <v/>
      </c>
      <c r="L86" s="15">
        <f>IF(K86="","",ROUND(K86*Настройки!$B$5,2))</f>
        <v/>
      </c>
      <c r="M86" s="15">
        <f>IF(A86="","",SUMIFS(Начисления!$M$2:$M$1000,Начисления!$F$2:$F$1000,A86))</f>
        <v/>
      </c>
      <c r="N86" s="15">
        <f>IF(A86="","",SUM(K86:M86))</f>
        <v/>
      </c>
      <c r="O86" s="14" t="n"/>
      <c r="P86" s="15">
        <f>IF(A86="","",N86-O86)</f>
        <v/>
      </c>
      <c r="Q86" s="10" t="n"/>
      <c r="R86" s="10" t="n"/>
      <c r="S86" s="16">
        <f>IF(ISNUMBER(D86),D86+TIME(3,0,0),"")</f>
        <v/>
      </c>
      <c r="T86" s="10" t="n"/>
      <c r="U86" s="17">
        <f>IF(OR(B86="",COUNT(D86:E86)&lt;2,E86&lt;D86,F86="Отменена"),0,MAX(0,MIN(E86,Сводка!$B$4)-MAX(D86,Сводка!$B$2)))</f>
        <v/>
      </c>
    </row>
    <row r="87">
      <c r="A87" s="9" t="n"/>
      <c r="B87" s="10" t="n"/>
      <c r="C87" s="10" t="n"/>
      <c r="D87" s="11" t="n"/>
      <c r="E87" s="11" t="n"/>
      <c r="F87" s="10" t="n"/>
      <c r="G87" s="12">
        <f>IF(B87="","",IF(OR(COUNT(D87:E87)&lt;2,E87&lt;D87),"Проверьте даты",IF(OR(F87="Отменена",F87="Возвращена"),"",IF(SUMPRODUCT(($B$2:$B$500=B87)*($D$2:$D$500&lt;=E87)*($E$2:$E$500&gt;=D87)*($F$2:$F$500&lt;&gt;"Отменена")*($F$2:$F$500&lt;&gt;"Возвращена"))&gt;1,"Пересечение","ОК"))))</f>
        <v/>
      </c>
      <c r="H87" s="12">
        <f>IF(OR(B87="",D87=""),"",IF(AND(OR(F87="Выдана",F87="Возвращена"),SUMPRODUCT(($B$2:$B$500=B87)*($D$2:$D$500=D87)*(($F$2:$F$500="Выдана")+($F$2:$F$500="Возвращена")))&gt;1),"Дубль",""))</f>
        <v/>
      </c>
      <c r="I87" s="13">
        <f>IF(OR(B87="",COUNT(D87:E87)&lt;2,E87&lt;D87),"",IF(Настройки!$B$6=Настройки!$M$3,INT(E87)-INT(D87)+1,ROUNDUP(ROUND((E87-D87)*24,2)/24,0)))</f>
        <v/>
      </c>
      <c r="J87" s="14" t="n"/>
      <c r="K87" s="15">
        <f>IF(OR(I87="",J87=""),"",IF(F87="Отменена",0,ROUND(I87*J87,2)))</f>
        <v/>
      </c>
      <c r="L87" s="15">
        <f>IF(K87="","",ROUND(K87*Настройки!$B$5,2))</f>
        <v/>
      </c>
      <c r="M87" s="15">
        <f>IF(A87="","",SUMIFS(Начисления!$M$2:$M$1000,Начисления!$F$2:$F$1000,A87))</f>
        <v/>
      </c>
      <c r="N87" s="15">
        <f>IF(A87="","",SUM(K87:M87))</f>
        <v/>
      </c>
      <c r="O87" s="14" t="n"/>
      <c r="P87" s="15">
        <f>IF(A87="","",N87-O87)</f>
        <v/>
      </c>
      <c r="Q87" s="10" t="n"/>
      <c r="R87" s="10" t="n"/>
      <c r="S87" s="16">
        <f>IF(ISNUMBER(D87),D87+TIME(3,0,0),"")</f>
        <v/>
      </c>
      <c r="T87" s="10" t="n"/>
      <c r="U87" s="17">
        <f>IF(OR(B87="",COUNT(D87:E87)&lt;2,E87&lt;D87,F87="Отменена"),0,MAX(0,MIN(E87,Сводка!$B$4)-MAX(D87,Сводка!$B$2)))</f>
        <v/>
      </c>
    </row>
    <row r="88">
      <c r="A88" s="9" t="n"/>
      <c r="B88" s="10" t="n"/>
      <c r="C88" s="10" t="n"/>
      <c r="D88" s="11" t="n"/>
      <c r="E88" s="11" t="n"/>
      <c r="F88" s="10" t="n"/>
      <c r="G88" s="12">
        <f>IF(B88="","",IF(OR(COUNT(D88:E88)&lt;2,E88&lt;D88),"Проверьте даты",IF(OR(F88="Отменена",F88="Возвращена"),"",IF(SUMPRODUCT(($B$2:$B$500=B88)*($D$2:$D$500&lt;=E88)*($E$2:$E$500&gt;=D88)*($F$2:$F$500&lt;&gt;"Отменена")*($F$2:$F$500&lt;&gt;"Возвращена"))&gt;1,"Пересечение","ОК"))))</f>
        <v/>
      </c>
      <c r="H88" s="12">
        <f>IF(OR(B88="",D88=""),"",IF(AND(OR(F88="Выдана",F88="Возвращена"),SUMPRODUCT(($B$2:$B$500=B88)*($D$2:$D$500=D88)*(($F$2:$F$500="Выдана")+($F$2:$F$500="Возвращена")))&gt;1),"Дубль",""))</f>
        <v/>
      </c>
      <c r="I88" s="13">
        <f>IF(OR(B88="",COUNT(D88:E88)&lt;2,E88&lt;D88),"",IF(Настройки!$B$6=Настройки!$M$3,INT(E88)-INT(D88)+1,ROUNDUP(ROUND((E88-D88)*24,2)/24,0)))</f>
        <v/>
      </c>
      <c r="J88" s="14" t="n"/>
      <c r="K88" s="15">
        <f>IF(OR(I88="",J88=""),"",IF(F88="Отменена",0,ROUND(I88*J88,2)))</f>
        <v/>
      </c>
      <c r="L88" s="15">
        <f>IF(K88="","",ROUND(K88*Настройки!$B$5,2))</f>
        <v/>
      </c>
      <c r="M88" s="15">
        <f>IF(A88="","",SUMIFS(Начисления!$M$2:$M$1000,Начисления!$F$2:$F$1000,A88))</f>
        <v/>
      </c>
      <c r="N88" s="15">
        <f>IF(A88="","",SUM(K88:M88))</f>
        <v/>
      </c>
      <c r="O88" s="14" t="n"/>
      <c r="P88" s="15">
        <f>IF(A88="","",N88-O88)</f>
        <v/>
      </c>
      <c r="Q88" s="10" t="n"/>
      <c r="R88" s="10" t="n"/>
      <c r="S88" s="16">
        <f>IF(ISNUMBER(D88),D88+TIME(3,0,0),"")</f>
        <v/>
      </c>
      <c r="T88" s="10" t="n"/>
      <c r="U88" s="17">
        <f>IF(OR(B88="",COUNT(D88:E88)&lt;2,E88&lt;D88,F88="Отменена"),0,MAX(0,MIN(E88,Сводка!$B$4)-MAX(D88,Сводка!$B$2)))</f>
        <v/>
      </c>
    </row>
    <row r="89">
      <c r="A89" s="9" t="n"/>
      <c r="B89" s="10" t="n"/>
      <c r="C89" s="10" t="n"/>
      <c r="D89" s="11" t="n"/>
      <c r="E89" s="11" t="n"/>
      <c r="F89" s="10" t="n"/>
      <c r="G89" s="12">
        <f>IF(B89="","",IF(OR(COUNT(D89:E89)&lt;2,E89&lt;D89),"Проверьте даты",IF(OR(F89="Отменена",F89="Возвращена"),"",IF(SUMPRODUCT(($B$2:$B$500=B89)*($D$2:$D$500&lt;=E89)*($E$2:$E$500&gt;=D89)*($F$2:$F$500&lt;&gt;"Отменена")*($F$2:$F$500&lt;&gt;"Возвращена"))&gt;1,"Пересечение","ОК"))))</f>
        <v/>
      </c>
      <c r="H89" s="12">
        <f>IF(OR(B89="",D89=""),"",IF(AND(OR(F89="Выдана",F89="Возвращена"),SUMPRODUCT(($B$2:$B$500=B89)*($D$2:$D$500=D89)*(($F$2:$F$500="Выдана")+($F$2:$F$500="Возвращена")))&gt;1),"Дубль",""))</f>
        <v/>
      </c>
      <c r="I89" s="13">
        <f>IF(OR(B89="",COUNT(D89:E89)&lt;2,E89&lt;D89),"",IF(Настройки!$B$6=Настройки!$M$3,INT(E89)-INT(D89)+1,ROUNDUP(ROUND((E89-D89)*24,2)/24,0)))</f>
        <v/>
      </c>
      <c r="J89" s="14" t="n"/>
      <c r="K89" s="15">
        <f>IF(OR(I89="",J89=""),"",IF(F89="Отменена",0,ROUND(I89*J89,2)))</f>
        <v/>
      </c>
      <c r="L89" s="15">
        <f>IF(K89="","",ROUND(K89*Настройки!$B$5,2))</f>
        <v/>
      </c>
      <c r="M89" s="15">
        <f>IF(A89="","",SUMIFS(Начисления!$M$2:$M$1000,Начисления!$F$2:$F$1000,A89))</f>
        <v/>
      </c>
      <c r="N89" s="15">
        <f>IF(A89="","",SUM(K89:M89))</f>
        <v/>
      </c>
      <c r="O89" s="14" t="n"/>
      <c r="P89" s="15">
        <f>IF(A89="","",N89-O89)</f>
        <v/>
      </c>
      <c r="Q89" s="10" t="n"/>
      <c r="R89" s="10" t="n"/>
      <c r="S89" s="16">
        <f>IF(ISNUMBER(D89),D89+TIME(3,0,0),"")</f>
        <v/>
      </c>
      <c r="T89" s="10" t="n"/>
      <c r="U89" s="17">
        <f>IF(OR(B89="",COUNT(D89:E89)&lt;2,E89&lt;D89,F89="Отменена"),0,MAX(0,MIN(E89,Сводка!$B$4)-MAX(D89,Сводка!$B$2)))</f>
        <v/>
      </c>
    </row>
    <row r="90">
      <c r="A90" s="9" t="n"/>
      <c r="B90" s="10" t="n"/>
      <c r="C90" s="10" t="n"/>
      <c r="D90" s="11" t="n"/>
      <c r="E90" s="11" t="n"/>
      <c r="F90" s="10" t="n"/>
      <c r="G90" s="12">
        <f>IF(B90="","",IF(OR(COUNT(D90:E90)&lt;2,E90&lt;D90),"Проверьте даты",IF(OR(F90="Отменена",F90="Возвращена"),"",IF(SUMPRODUCT(($B$2:$B$500=B90)*($D$2:$D$500&lt;=E90)*($E$2:$E$500&gt;=D90)*($F$2:$F$500&lt;&gt;"Отменена")*($F$2:$F$500&lt;&gt;"Возвращена"))&gt;1,"Пересечение","ОК"))))</f>
        <v/>
      </c>
      <c r="H90" s="12">
        <f>IF(OR(B90="",D90=""),"",IF(AND(OR(F90="Выдана",F90="Возвращена"),SUMPRODUCT(($B$2:$B$500=B90)*($D$2:$D$500=D90)*(($F$2:$F$500="Выдана")+($F$2:$F$500="Возвращена")))&gt;1),"Дубль",""))</f>
        <v/>
      </c>
      <c r="I90" s="13">
        <f>IF(OR(B90="",COUNT(D90:E90)&lt;2,E90&lt;D90),"",IF(Настройки!$B$6=Настройки!$M$3,INT(E90)-INT(D90)+1,ROUNDUP(ROUND((E90-D90)*24,2)/24,0)))</f>
        <v/>
      </c>
      <c r="J90" s="14" t="n"/>
      <c r="K90" s="15">
        <f>IF(OR(I90="",J90=""),"",IF(F90="Отменена",0,ROUND(I90*J90,2)))</f>
        <v/>
      </c>
      <c r="L90" s="15">
        <f>IF(K90="","",ROUND(K90*Настройки!$B$5,2))</f>
        <v/>
      </c>
      <c r="M90" s="15">
        <f>IF(A90="","",SUMIFS(Начисления!$M$2:$M$1000,Начисления!$F$2:$F$1000,A90))</f>
        <v/>
      </c>
      <c r="N90" s="15">
        <f>IF(A90="","",SUM(K90:M90))</f>
        <v/>
      </c>
      <c r="O90" s="14" t="n"/>
      <c r="P90" s="15">
        <f>IF(A90="","",N90-O90)</f>
        <v/>
      </c>
      <c r="Q90" s="10" t="n"/>
      <c r="R90" s="10" t="n"/>
      <c r="S90" s="16">
        <f>IF(ISNUMBER(D90),D90+TIME(3,0,0),"")</f>
        <v/>
      </c>
      <c r="T90" s="10" t="n"/>
      <c r="U90" s="17">
        <f>IF(OR(B90="",COUNT(D90:E90)&lt;2,E90&lt;D90,F90="Отменена"),0,MAX(0,MIN(E90,Сводка!$B$4)-MAX(D90,Сводка!$B$2)))</f>
        <v/>
      </c>
    </row>
    <row r="91">
      <c r="A91" s="9" t="n"/>
      <c r="B91" s="10" t="n"/>
      <c r="C91" s="10" t="n"/>
      <c r="D91" s="11" t="n"/>
      <c r="E91" s="11" t="n"/>
      <c r="F91" s="10" t="n"/>
      <c r="G91" s="12">
        <f>IF(B91="","",IF(OR(COUNT(D91:E91)&lt;2,E91&lt;D91),"Проверьте даты",IF(OR(F91="Отменена",F91="Возвращена"),"",IF(SUMPRODUCT(($B$2:$B$500=B91)*($D$2:$D$500&lt;=E91)*($E$2:$E$500&gt;=D91)*($F$2:$F$500&lt;&gt;"Отменена")*($F$2:$F$500&lt;&gt;"Возвращена"))&gt;1,"Пересечение","ОК"))))</f>
        <v/>
      </c>
      <c r="H91" s="12">
        <f>IF(OR(B91="",D91=""),"",IF(AND(OR(F91="Выдана",F91="Возвращена"),SUMPRODUCT(($B$2:$B$500=B91)*($D$2:$D$500=D91)*(($F$2:$F$500="Выдана")+($F$2:$F$500="Возвращена")))&gt;1),"Дубль",""))</f>
        <v/>
      </c>
      <c r="I91" s="13">
        <f>IF(OR(B91="",COUNT(D91:E91)&lt;2,E91&lt;D91),"",IF(Настройки!$B$6=Настройки!$M$3,INT(E91)-INT(D91)+1,ROUNDUP(ROUND((E91-D91)*24,2)/24,0)))</f>
        <v/>
      </c>
      <c r="J91" s="14" t="n"/>
      <c r="K91" s="15">
        <f>IF(OR(I91="",J91=""),"",IF(F91="Отменена",0,ROUND(I91*J91,2)))</f>
        <v/>
      </c>
      <c r="L91" s="15">
        <f>IF(K91="","",ROUND(K91*Настройки!$B$5,2))</f>
        <v/>
      </c>
      <c r="M91" s="15">
        <f>IF(A91="","",SUMIFS(Начисления!$M$2:$M$1000,Начисления!$F$2:$F$1000,A91))</f>
        <v/>
      </c>
      <c r="N91" s="15">
        <f>IF(A91="","",SUM(K91:M91))</f>
        <v/>
      </c>
      <c r="O91" s="14" t="n"/>
      <c r="P91" s="15">
        <f>IF(A91="","",N91-O91)</f>
        <v/>
      </c>
      <c r="Q91" s="10" t="n"/>
      <c r="R91" s="10" t="n"/>
      <c r="S91" s="16">
        <f>IF(ISNUMBER(D91),D91+TIME(3,0,0),"")</f>
        <v/>
      </c>
      <c r="T91" s="10" t="n"/>
      <c r="U91" s="17">
        <f>IF(OR(B91="",COUNT(D91:E91)&lt;2,E91&lt;D91,F91="Отменена"),0,MAX(0,MIN(E91,Сводка!$B$4)-MAX(D91,Сводка!$B$2)))</f>
        <v/>
      </c>
    </row>
    <row r="92">
      <c r="A92" s="9" t="n"/>
      <c r="B92" s="10" t="n"/>
      <c r="C92" s="10" t="n"/>
      <c r="D92" s="11" t="n"/>
      <c r="E92" s="11" t="n"/>
      <c r="F92" s="10" t="n"/>
      <c r="G92" s="12">
        <f>IF(B92="","",IF(OR(COUNT(D92:E92)&lt;2,E92&lt;D92),"Проверьте даты",IF(OR(F92="Отменена",F92="Возвращена"),"",IF(SUMPRODUCT(($B$2:$B$500=B92)*($D$2:$D$500&lt;=E92)*($E$2:$E$500&gt;=D92)*($F$2:$F$500&lt;&gt;"Отменена")*($F$2:$F$500&lt;&gt;"Возвращена"))&gt;1,"Пересечение","ОК"))))</f>
        <v/>
      </c>
      <c r="H92" s="12">
        <f>IF(OR(B92="",D92=""),"",IF(AND(OR(F92="Выдана",F92="Возвращена"),SUMPRODUCT(($B$2:$B$500=B92)*($D$2:$D$500=D92)*(($F$2:$F$500="Выдана")+($F$2:$F$500="Возвращена")))&gt;1),"Дубль",""))</f>
        <v/>
      </c>
      <c r="I92" s="13">
        <f>IF(OR(B92="",COUNT(D92:E92)&lt;2,E92&lt;D92),"",IF(Настройки!$B$6=Настройки!$M$3,INT(E92)-INT(D92)+1,ROUNDUP(ROUND((E92-D92)*24,2)/24,0)))</f>
        <v/>
      </c>
      <c r="J92" s="14" t="n"/>
      <c r="K92" s="15">
        <f>IF(OR(I92="",J92=""),"",IF(F92="Отменена",0,ROUND(I92*J92,2)))</f>
        <v/>
      </c>
      <c r="L92" s="15">
        <f>IF(K92="","",ROUND(K92*Настройки!$B$5,2))</f>
        <v/>
      </c>
      <c r="M92" s="15">
        <f>IF(A92="","",SUMIFS(Начисления!$M$2:$M$1000,Начисления!$F$2:$F$1000,A92))</f>
        <v/>
      </c>
      <c r="N92" s="15">
        <f>IF(A92="","",SUM(K92:M92))</f>
        <v/>
      </c>
      <c r="O92" s="14" t="n"/>
      <c r="P92" s="15">
        <f>IF(A92="","",N92-O92)</f>
        <v/>
      </c>
      <c r="Q92" s="10" t="n"/>
      <c r="R92" s="10" t="n"/>
      <c r="S92" s="16">
        <f>IF(ISNUMBER(D92),D92+TIME(3,0,0),"")</f>
        <v/>
      </c>
      <c r="T92" s="10" t="n"/>
      <c r="U92" s="17">
        <f>IF(OR(B92="",COUNT(D92:E92)&lt;2,E92&lt;D92,F92="Отменена"),0,MAX(0,MIN(E92,Сводка!$B$4)-MAX(D92,Сводка!$B$2)))</f>
        <v/>
      </c>
    </row>
    <row r="93">
      <c r="A93" s="9" t="n"/>
      <c r="B93" s="10" t="n"/>
      <c r="C93" s="10" t="n"/>
      <c r="D93" s="11" t="n"/>
      <c r="E93" s="11" t="n"/>
      <c r="F93" s="10" t="n"/>
      <c r="G93" s="12">
        <f>IF(B93="","",IF(OR(COUNT(D93:E93)&lt;2,E93&lt;D93),"Проверьте даты",IF(OR(F93="Отменена",F93="Возвращена"),"",IF(SUMPRODUCT(($B$2:$B$500=B93)*($D$2:$D$500&lt;=E93)*($E$2:$E$500&gt;=D93)*($F$2:$F$500&lt;&gt;"Отменена")*($F$2:$F$500&lt;&gt;"Возвращена"))&gt;1,"Пересечение","ОК"))))</f>
        <v/>
      </c>
      <c r="H93" s="12">
        <f>IF(OR(B93="",D93=""),"",IF(AND(OR(F93="Выдана",F93="Возвращена"),SUMPRODUCT(($B$2:$B$500=B93)*($D$2:$D$500=D93)*(($F$2:$F$500="Выдана")+($F$2:$F$500="Возвращена")))&gt;1),"Дубль",""))</f>
        <v/>
      </c>
      <c r="I93" s="13">
        <f>IF(OR(B93="",COUNT(D93:E93)&lt;2,E93&lt;D93),"",IF(Настройки!$B$6=Настройки!$M$3,INT(E93)-INT(D93)+1,ROUNDUP(ROUND((E93-D93)*24,2)/24,0)))</f>
        <v/>
      </c>
      <c r="J93" s="14" t="n"/>
      <c r="K93" s="15">
        <f>IF(OR(I93="",J93=""),"",IF(F93="Отменена",0,ROUND(I93*J93,2)))</f>
        <v/>
      </c>
      <c r="L93" s="15">
        <f>IF(K93="","",ROUND(K93*Настройки!$B$5,2))</f>
        <v/>
      </c>
      <c r="M93" s="15">
        <f>IF(A93="","",SUMIFS(Начисления!$M$2:$M$1000,Начисления!$F$2:$F$1000,A93))</f>
        <v/>
      </c>
      <c r="N93" s="15">
        <f>IF(A93="","",SUM(K93:M93))</f>
        <v/>
      </c>
      <c r="O93" s="14" t="n"/>
      <c r="P93" s="15">
        <f>IF(A93="","",N93-O93)</f>
        <v/>
      </c>
      <c r="Q93" s="10" t="n"/>
      <c r="R93" s="10" t="n"/>
      <c r="S93" s="16">
        <f>IF(ISNUMBER(D93),D93+TIME(3,0,0),"")</f>
        <v/>
      </c>
      <c r="T93" s="10" t="n"/>
      <c r="U93" s="17">
        <f>IF(OR(B93="",COUNT(D93:E93)&lt;2,E93&lt;D93,F93="Отменена"),0,MAX(0,MIN(E93,Сводка!$B$4)-MAX(D93,Сводка!$B$2)))</f>
        <v/>
      </c>
    </row>
    <row r="94">
      <c r="A94" s="9" t="n"/>
      <c r="B94" s="10" t="n"/>
      <c r="C94" s="10" t="n"/>
      <c r="D94" s="11" t="n"/>
      <c r="E94" s="11" t="n"/>
      <c r="F94" s="10" t="n"/>
      <c r="G94" s="12">
        <f>IF(B94="","",IF(OR(COUNT(D94:E94)&lt;2,E94&lt;D94),"Проверьте даты",IF(OR(F94="Отменена",F94="Возвращена"),"",IF(SUMPRODUCT(($B$2:$B$500=B94)*($D$2:$D$500&lt;=E94)*($E$2:$E$500&gt;=D94)*($F$2:$F$500&lt;&gt;"Отменена")*($F$2:$F$500&lt;&gt;"Возвращена"))&gt;1,"Пересечение","ОК"))))</f>
        <v/>
      </c>
      <c r="H94" s="12">
        <f>IF(OR(B94="",D94=""),"",IF(AND(OR(F94="Выдана",F94="Возвращена"),SUMPRODUCT(($B$2:$B$500=B94)*($D$2:$D$500=D94)*(($F$2:$F$500="Выдана")+($F$2:$F$500="Возвращена")))&gt;1),"Дубль",""))</f>
        <v/>
      </c>
      <c r="I94" s="13">
        <f>IF(OR(B94="",COUNT(D94:E94)&lt;2,E94&lt;D94),"",IF(Настройки!$B$6=Настройки!$M$3,INT(E94)-INT(D94)+1,ROUNDUP(ROUND((E94-D94)*24,2)/24,0)))</f>
        <v/>
      </c>
      <c r="J94" s="14" t="n"/>
      <c r="K94" s="15">
        <f>IF(OR(I94="",J94=""),"",IF(F94="Отменена",0,ROUND(I94*J94,2)))</f>
        <v/>
      </c>
      <c r="L94" s="15">
        <f>IF(K94="","",ROUND(K94*Настройки!$B$5,2))</f>
        <v/>
      </c>
      <c r="M94" s="15">
        <f>IF(A94="","",SUMIFS(Начисления!$M$2:$M$1000,Начисления!$F$2:$F$1000,A94))</f>
        <v/>
      </c>
      <c r="N94" s="15">
        <f>IF(A94="","",SUM(K94:M94))</f>
        <v/>
      </c>
      <c r="O94" s="14" t="n"/>
      <c r="P94" s="15">
        <f>IF(A94="","",N94-O94)</f>
        <v/>
      </c>
      <c r="Q94" s="10" t="n"/>
      <c r="R94" s="10" t="n"/>
      <c r="S94" s="16">
        <f>IF(ISNUMBER(D94),D94+TIME(3,0,0),"")</f>
        <v/>
      </c>
      <c r="T94" s="10" t="n"/>
      <c r="U94" s="17">
        <f>IF(OR(B94="",COUNT(D94:E94)&lt;2,E94&lt;D94,F94="Отменена"),0,MAX(0,MIN(E94,Сводка!$B$4)-MAX(D94,Сводка!$B$2)))</f>
        <v/>
      </c>
    </row>
    <row r="95">
      <c r="A95" s="9" t="n"/>
      <c r="B95" s="10" t="n"/>
      <c r="C95" s="10" t="n"/>
      <c r="D95" s="11" t="n"/>
      <c r="E95" s="11" t="n"/>
      <c r="F95" s="10" t="n"/>
      <c r="G95" s="12">
        <f>IF(B95="","",IF(OR(COUNT(D95:E95)&lt;2,E95&lt;D95),"Проверьте даты",IF(OR(F95="Отменена",F95="Возвращена"),"",IF(SUMPRODUCT(($B$2:$B$500=B95)*($D$2:$D$500&lt;=E95)*($E$2:$E$500&gt;=D95)*($F$2:$F$500&lt;&gt;"Отменена")*($F$2:$F$500&lt;&gt;"Возвращена"))&gt;1,"Пересечение","ОК"))))</f>
        <v/>
      </c>
      <c r="H95" s="12">
        <f>IF(OR(B95="",D95=""),"",IF(AND(OR(F95="Выдана",F95="Возвращена"),SUMPRODUCT(($B$2:$B$500=B95)*($D$2:$D$500=D95)*(($F$2:$F$500="Выдана")+($F$2:$F$500="Возвращена")))&gt;1),"Дубль",""))</f>
        <v/>
      </c>
      <c r="I95" s="13">
        <f>IF(OR(B95="",COUNT(D95:E95)&lt;2,E95&lt;D95),"",IF(Настройки!$B$6=Настройки!$M$3,INT(E95)-INT(D95)+1,ROUNDUP(ROUND((E95-D95)*24,2)/24,0)))</f>
        <v/>
      </c>
      <c r="J95" s="14" t="n"/>
      <c r="K95" s="15">
        <f>IF(OR(I95="",J95=""),"",IF(F95="Отменена",0,ROUND(I95*J95,2)))</f>
        <v/>
      </c>
      <c r="L95" s="15">
        <f>IF(K95="","",ROUND(K95*Настройки!$B$5,2))</f>
        <v/>
      </c>
      <c r="M95" s="15">
        <f>IF(A95="","",SUMIFS(Начисления!$M$2:$M$1000,Начисления!$F$2:$F$1000,A95))</f>
        <v/>
      </c>
      <c r="N95" s="15">
        <f>IF(A95="","",SUM(K95:M95))</f>
        <v/>
      </c>
      <c r="O95" s="14" t="n"/>
      <c r="P95" s="15">
        <f>IF(A95="","",N95-O95)</f>
        <v/>
      </c>
      <c r="Q95" s="10" t="n"/>
      <c r="R95" s="10" t="n"/>
      <c r="S95" s="16">
        <f>IF(ISNUMBER(D95),D95+TIME(3,0,0),"")</f>
        <v/>
      </c>
      <c r="T95" s="10" t="n"/>
      <c r="U95" s="17">
        <f>IF(OR(B95="",COUNT(D95:E95)&lt;2,E95&lt;D95,F95="Отменена"),0,MAX(0,MIN(E95,Сводка!$B$4)-MAX(D95,Сводка!$B$2)))</f>
        <v/>
      </c>
    </row>
    <row r="96">
      <c r="A96" s="9" t="n"/>
      <c r="B96" s="10" t="n"/>
      <c r="C96" s="10" t="n"/>
      <c r="D96" s="11" t="n"/>
      <c r="E96" s="11" t="n"/>
      <c r="F96" s="10" t="n"/>
      <c r="G96" s="12">
        <f>IF(B96="","",IF(OR(COUNT(D96:E96)&lt;2,E96&lt;D96),"Проверьте даты",IF(OR(F96="Отменена",F96="Возвращена"),"",IF(SUMPRODUCT(($B$2:$B$500=B96)*($D$2:$D$500&lt;=E96)*($E$2:$E$500&gt;=D96)*($F$2:$F$500&lt;&gt;"Отменена")*($F$2:$F$500&lt;&gt;"Возвращена"))&gt;1,"Пересечение","ОК"))))</f>
        <v/>
      </c>
      <c r="H96" s="12">
        <f>IF(OR(B96="",D96=""),"",IF(AND(OR(F96="Выдана",F96="Возвращена"),SUMPRODUCT(($B$2:$B$500=B96)*($D$2:$D$500=D96)*(($F$2:$F$500="Выдана")+($F$2:$F$500="Возвращена")))&gt;1),"Дубль",""))</f>
        <v/>
      </c>
      <c r="I96" s="13">
        <f>IF(OR(B96="",COUNT(D96:E96)&lt;2,E96&lt;D96),"",IF(Настройки!$B$6=Настройки!$M$3,INT(E96)-INT(D96)+1,ROUNDUP(ROUND((E96-D96)*24,2)/24,0)))</f>
        <v/>
      </c>
      <c r="J96" s="14" t="n"/>
      <c r="K96" s="15">
        <f>IF(OR(I96="",J96=""),"",IF(F96="Отменена",0,ROUND(I96*J96,2)))</f>
        <v/>
      </c>
      <c r="L96" s="15">
        <f>IF(K96="","",ROUND(K96*Настройки!$B$5,2))</f>
        <v/>
      </c>
      <c r="M96" s="15">
        <f>IF(A96="","",SUMIFS(Начисления!$M$2:$M$1000,Начисления!$F$2:$F$1000,A96))</f>
        <v/>
      </c>
      <c r="N96" s="15">
        <f>IF(A96="","",SUM(K96:M96))</f>
        <v/>
      </c>
      <c r="O96" s="14" t="n"/>
      <c r="P96" s="15">
        <f>IF(A96="","",N96-O96)</f>
        <v/>
      </c>
      <c r="Q96" s="10" t="n"/>
      <c r="R96" s="10" t="n"/>
      <c r="S96" s="16">
        <f>IF(ISNUMBER(D96),D96+TIME(3,0,0),"")</f>
        <v/>
      </c>
      <c r="T96" s="10" t="n"/>
      <c r="U96" s="17">
        <f>IF(OR(B96="",COUNT(D96:E96)&lt;2,E96&lt;D96,F96="Отменена"),0,MAX(0,MIN(E96,Сводка!$B$4)-MAX(D96,Сводка!$B$2)))</f>
        <v/>
      </c>
    </row>
    <row r="97">
      <c r="A97" s="9" t="n"/>
      <c r="B97" s="10" t="n"/>
      <c r="C97" s="10" t="n"/>
      <c r="D97" s="11" t="n"/>
      <c r="E97" s="11" t="n"/>
      <c r="F97" s="10" t="n"/>
      <c r="G97" s="12">
        <f>IF(B97="","",IF(OR(COUNT(D97:E97)&lt;2,E97&lt;D97),"Проверьте даты",IF(OR(F97="Отменена",F97="Возвращена"),"",IF(SUMPRODUCT(($B$2:$B$500=B97)*($D$2:$D$500&lt;=E97)*($E$2:$E$500&gt;=D97)*($F$2:$F$500&lt;&gt;"Отменена")*($F$2:$F$500&lt;&gt;"Возвращена"))&gt;1,"Пересечение","ОК"))))</f>
        <v/>
      </c>
      <c r="H97" s="12">
        <f>IF(OR(B97="",D97=""),"",IF(AND(OR(F97="Выдана",F97="Возвращена"),SUMPRODUCT(($B$2:$B$500=B97)*($D$2:$D$500=D97)*(($F$2:$F$500="Выдана")+($F$2:$F$500="Возвращена")))&gt;1),"Дубль",""))</f>
        <v/>
      </c>
      <c r="I97" s="13">
        <f>IF(OR(B97="",COUNT(D97:E97)&lt;2,E97&lt;D97),"",IF(Настройки!$B$6=Настройки!$M$3,INT(E97)-INT(D97)+1,ROUNDUP(ROUND((E97-D97)*24,2)/24,0)))</f>
        <v/>
      </c>
      <c r="J97" s="14" t="n"/>
      <c r="K97" s="15">
        <f>IF(OR(I97="",J97=""),"",IF(F97="Отменена",0,ROUND(I97*J97,2)))</f>
        <v/>
      </c>
      <c r="L97" s="15">
        <f>IF(K97="","",ROUND(K97*Настройки!$B$5,2))</f>
        <v/>
      </c>
      <c r="M97" s="15">
        <f>IF(A97="","",SUMIFS(Начисления!$M$2:$M$1000,Начисления!$F$2:$F$1000,A97))</f>
        <v/>
      </c>
      <c r="N97" s="15">
        <f>IF(A97="","",SUM(K97:M97))</f>
        <v/>
      </c>
      <c r="O97" s="14" t="n"/>
      <c r="P97" s="15">
        <f>IF(A97="","",N97-O97)</f>
        <v/>
      </c>
      <c r="Q97" s="10" t="n"/>
      <c r="R97" s="10" t="n"/>
      <c r="S97" s="16">
        <f>IF(ISNUMBER(D97),D97+TIME(3,0,0),"")</f>
        <v/>
      </c>
      <c r="T97" s="10" t="n"/>
      <c r="U97" s="17">
        <f>IF(OR(B97="",COUNT(D97:E97)&lt;2,E97&lt;D97,F97="Отменена"),0,MAX(0,MIN(E97,Сводка!$B$4)-MAX(D97,Сводка!$B$2)))</f>
        <v/>
      </c>
    </row>
    <row r="98">
      <c r="A98" s="9" t="n"/>
      <c r="B98" s="10" t="n"/>
      <c r="C98" s="10" t="n"/>
      <c r="D98" s="11" t="n"/>
      <c r="E98" s="11" t="n"/>
      <c r="F98" s="10" t="n"/>
      <c r="G98" s="12">
        <f>IF(B98="","",IF(OR(COUNT(D98:E98)&lt;2,E98&lt;D98),"Проверьте даты",IF(OR(F98="Отменена",F98="Возвращена"),"",IF(SUMPRODUCT(($B$2:$B$500=B98)*($D$2:$D$500&lt;=E98)*($E$2:$E$500&gt;=D98)*($F$2:$F$500&lt;&gt;"Отменена")*($F$2:$F$500&lt;&gt;"Возвращена"))&gt;1,"Пересечение","ОК"))))</f>
        <v/>
      </c>
      <c r="H98" s="12">
        <f>IF(OR(B98="",D98=""),"",IF(AND(OR(F98="Выдана",F98="Возвращена"),SUMPRODUCT(($B$2:$B$500=B98)*($D$2:$D$500=D98)*(($F$2:$F$500="Выдана")+($F$2:$F$500="Возвращена")))&gt;1),"Дубль",""))</f>
        <v/>
      </c>
      <c r="I98" s="13">
        <f>IF(OR(B98="",COUNT(D98:E98)&lt;2,E98&lt;D98),"",IF(Настройки!$B$6=Настройки!$M$3,INT(E98)-INT(D98)+1,ROUNDUP(ROUND((E98-D98)*24,2)/24,0)))</f>
        <v/>
      </c>
      <c r="J98" s="14" t="n"/>
      <c r="K98" s="15">
        <f>IF(OR(I98="",J98=""),"",IF(F98="Отменена",0,ROUND(I98*J98,2)))</f>
        <v/>
      </c>
      <c r="L98" s="15">
        <f>IF(K98="","",ROUND(K98*Настройки!$B$5,2))</f>
        <v/>
      </c>
      <c r="M98" s="15">
        <f>IF(A98="","",SUMIFS(Начисления!$M$2:$M$1000,Начисления!$F$2:$F$1000,A98))</f>
        <v/>
      </c>
      <c r="N98" s="15">
        <f>IF(A98="","",SUM(K98:M98))</f>
        <v/>
      </c>
      <c r="O98" s="14" t="n"/>
      <c r="P98" s="15">
        <f>IF(A98="","",N98-O98)</f>
        <v/>
      </c>
      <c r="Q98" s="10" t="n"/>
      <c r="R98" s="10" t="n"/>
      <c r="S98" s="16">
        <f>IF(ISNUMBER(D98),D98+TIME(3,0,0),"")</f>
        <v/>
      </c>
      <c r="T98" s="10" t="n"/>
      <c r="U98" s="17">
        <f>IF(OR(B98="",COUNT(D98:E98)&lt;2,E98&lt;D98,F98="Отменена"),0,MAX(0,MIN(E98,Сводка!$B$4)-MAX(D98,Сводка!$B$2)))</f>
        <v/>
      </c>
    </row>
    <row r="99">
      <c r="A99" s="9" t="n"/>
      <c r="B99" s="10" t="n"/>
      <c r="C99" s="10" t="n"/>
      <c r="D99" s="11" t="n"/>
      <c r="E99" s="11" t="n"/>
      <c r="F99" s="10" t="n"/>
      <c r="G99" s="12">
        <f>IF(B99="","",IF(OR(COUNT(D99:E99)&lt;2,E99&lt;D99),"Проверьте даты",IF(OR(F99="Отменена",F99="Возвращена"),"",IF(SUMPRODUCT(($B$2:$B$500=B99)*($D$2:$D$500&lt;=E99)*($E$2:$E$500&gt;=D99)*($F$2:$F$500&lt;&gt;"Отменена")*($F$2:$F$500&lt;&gt;"Возвращена"))&gt;1,"Пересечение","ОК"))))</f>
        <v/>
      </c>
      <c r="H99" s="12">
        <f>IF(OR(B99="",D99=""),"",IF(AND(OR(F99="Выдана",F99="Возвращена"),SUMPRODUCT(($B$2:$B$500=B99)*($D$2:$D$500=D99)*(($F$2:$F$500="Выдана")+($F$2:$F$500="Возвращена")))&gt;1),"Дубль",""))</f>
        <v/>
      </c>
      <c r="I99" s="13">
        <f>IF(OR(B99="",COUNT(D99:E99)&lt;2,E99&lt;D99),"",IF(Настройки!$B$6=Настройки!$M$3,INT(E99)-INT(D99)+1,ROUNDUP(ROUND((E99-D99)*24,2)/24,0)))</f>
        <v/>
      </c>
      <c r="J99" s="14" t="n"/>
      <c r="K99" s="15">
        <f>IF(OR(I99="",J99=""),"",IF(F99="Отменена",0,ROUND(I99*J99,2)))</f>
        <v/>
      </c>
      <c r="L99" s="15">
        <f>IF(K99="","",ROUND(K99*Настройки!$B$5,2))</f>
        <v/>
      </c>
      <c r="M99" s="15">
        <f>IF(A99="","",SUMIFS(Начисления!$M$2:$M$1000,Начисления!$F$2:$F$1000,A99))</f>
        <v/>
      </c>
      <c r="N99" s="15">
        <f>IF(A99="","",SUM(K99:M99))</f>
        <v/>
      </c>
      <c r="O99" s="14" t="n"/>
      <c r="P99" s="15">
        <f>IF(A99="","",N99-O99)</f>
        <v/>
      </c>
      <c r="Q99" s="10" t="n"/>
      <c r="R99" s="10" t="n"/>
      <c r="S99" s="16">
        <f>IF(ISNUMBER(D99),D99+TIME(3,0,0),"")</f>
        <v/>
      </c>
      <c r="T99" s="10" t="n"/>
      <c r="U99" s="17">
        <f>IF(OR(B99="",COUNT(D99:E99)&lt;2,E99&lt;D99,F99="Отменена"),0,MAX(0,MIN(E99,Сводка!$B$4)-MAX(D99,Сводка!$B$2)))</f>
        <v/>
      </c>
    </row>
    <row r="100">
      <c r="A100" s="9" t="n"/>
      <c r="B100" s="10" t="n"/>
      <c r="C100" s="10" t="n"/>
      <c r="D100" s="11" t="n"/>
      <c r="E100" s="11" t="n"/>
      <c r="F100" s="10" t="n"/>
      <c r="G100" s="12">
        <f>IF(B100="","",IF(OR(COUNT(D100:E100)&lt;2,E100&lt;D100),"Проверьте даты",IF(OR(F100="Отменена",F100="Возвращена"),"",IF(SUMPRODUCT(($B$2:$B$500=B100)*($D$2:$D$500&lt;=E100)*($E$2:$E$500&gt;=D100)*($F$2:$F$500&lt;&gt;"Отменена")*($F$2:$F$500&lt;&gt;"Возвращена"))&gt;1,"Пересечение","ОК"))))</f>
        <v/>
      </c>
      <c r="H100" s="12">
        <f>IF(OR(B100="",D100=""),"",IF(AND(OR(F100="Выдана",F100="Возвращена"),SUMPRODUCT(($B$2:$B$500=B100)*($D$2:$D$500=D100)*(($F$2:$F$500="Выдана")+($F$2:$F$500="Возвращена")))&gt;1),"Дубль",""))</f>
        <v/>
      </c>
      <c r="I100" s="13">
        <f>IF(OR(B100="",COUNT(D100:E100)&lt;2,E100&lt;D100),"",IF(Настройки!$B$6=Настройки!$M$3,INT(E100)-INT(D100)+1,ROUNDUP(ROUND((E100-D100)*24,2)/24,0)))</f>
        <v/>
      </c>
      <c r="J100" s="14" t="n"/>
      <c r="K100" s="15">
        <f>IF(OR(I100="",J100=""),"",IF(F100="Отменена",0,ROUND(I100*J100,2)))</f>
        <v/>
      </c>
      <c r="L100" s="15">
        <f>IF(K100="","",ROUND(K100*Настройки!$B$5,2))</f>
        <v/>
      </c>
      <c r="M100" s="15">
        <f>IF(A100="","",SUMIFS(Начисления!$M$2:$M$1000,Начисления!$F$2:$F$1000,A100))</f>
        <v/>
      </c>
      <c r="N100" s="15">
        <f>IF(A100="","",SUM(K100:M100))</f>
        <v/>
      </c>
      <c r="O100" s="14" t="n"/>
      <c r="P100" s="15">
        <f>IF(A100="","",N100-O100)</f>
        <v/>
      </c>
      <c r="Q100" s="10" t="n"/>
      <c r="R100" s="10" t="n"/>
      <c r="S100" s="16">
        <f>IF(ISNUMBER(D100),D100+TIME(3,0,0),"")</f>
        <v/>
      </c>
      <c r="T100" s="10" t="n"/>
      <c r="U100" s="17">
        <f>IF(OR(B100="",COUNT(D100:E100)&lt;2,E100&lt;D100,F100="Отменена"),0,MAX(0,MIN(E100,Сводка!$B$4)-MAX(D100,Сводка!$B$2)))</f>
        <v/>
      </c>
    </row>
    <row r="101">
      <c r="A101" s="9" t="n"/>
      <c r="B101" s="10" t="n"/>
      <c r="C101" s="10" t="n"/>
      <c r="D101" s="11" t="n"/>
      <c r="E101" s="11" t="n"/>
      <c r="F101" s="10" t="n"/>
      <c r="G101" s="12">
        <f>IF(B101="","",IF(OR(COUNT(D101:E101)&lt;2,E101&lt;D101),"Проверьте даты",IF(OR(F101="Отменена",F101="Возвращена"),"",IF(SUMPRODUCT(($B$2:$B$500=B101)*($D$2:$D$500&lt;=E101)*($E$2:$E$500&gt;=D101)*($F$2:$F$500&lt;&gt;"Отменена")*($F$2:$F$500&lt;&gt;"Возвращена"))&gt;1,"Пересечение","ОК"))))</f>
        <v/>
      </c>
      <c r="H101" s="12">
        <f>IF(OR(B101="",D101=""),"",IF(AND(OR(F101="Выдана",F101="Возвращена"),SUMPRODUCT(($B$2:$B$500=B101)*($D$2:$D$500=D101)*(($F$2:$F$500="Выдана")+($F$2:$F$500="Возвращена")))&gt;1),"Дубль",""))</f>
        <v/>
      </c>
      <c r="I101" s="13">
        <f>IF(OR(B101="",COUNT(D101:E101)&lt;2,E101&lt;D101),"",IF(Настройки!$B$6=Настройки!$M$3,INT(E101)-INT(D101)+1,ROUNDUP(ROUND((E101-D101)*24,2)/24,0)))</f>
        <v/>
      </c>
      <c r="J101" s="14" t="n"/>
      <c r="K101" s="15">
        <f>IF(OR(I101="",J101=""),"",IF(F101="Отменена",0,ROUND(I101*J101,2)))</f>
        <v/>
      </c>
      <c r="L101" s="15">
        <f>IF(K101="","",ROUND(K101*Настройки!$B$5,2))</f>
        <v/>
      </c>
      <c r="M101" s="15">
        <f>IF(A101="","",SUMIFS(Начисления!$M$2:$M$1000,Начисления!$F$2:$F$1000,A101))</f>
        <v/>
      </c>
      <c r="N101" s="15">
        <f>IF(A101="","",SUM(K101:M101))</f>
        <v/>
      </c>
      <c r="O101" s="14" t="n"/>
      <c r="P101" s="15">
        <f>IF(A101="","",N101-O101)</f>
        <v/>
      </c>
      <c r="Q101" s="10" t="n"/>
      <c r="R101" s="10" t="n"/>
      <c r="S101" s="16">
        <f>IF(ISNUMBER(D101),D101+TIME(3,0,0),"")</f>
        <v/>
      </c>
      <c r="T101" s="10" t="n"/>
      <c r="U101" s="17">
        <f>IF(OR(B101="",COUNT(D101:E101)&lt;2,E101&lt;D101,F101="Отменена"),0,MAX(0,MIN(E101,Сводка!$B$4)-MAX(D101,Сводка!$B$2)))</f>
        <v/>
      </c>
    </row>
    <row r="102">
      <c r="A102" s="9" t="n"/>
      <c r="B102" s="10" t="n"/>
      <c r="C102" s="10" t="n"/>
      <c r="D102" s="11" t="n"/>
      <c r="E102" s="11" t="n"/>
      <c r="F102" s="10" t="n"/>
      <c r="G102" s="12">
        <f>IF(B102="","",IF(OR(COUNT(D102:E102)&lt;2,E102&lt;D102),"Проверьте даты",IF(OR(F102="Отменена",F102="Возвращена"),"",IF(SUMPRODUCT(($B$2:$B$500=B102)*($D$2:$D$500&lt;=E102)*($E$2:$E$500&gt;=D102)*($F$2:$F$500&lt;&gt;"Отменена")*($F$2:$F$500&lt;&gt;"Возвращена"))&gt;1,"Пересечение","ОК"))))</f>
        <v/>
      </c>
      <c r="H102" s="12">
        <f>IF(OR(B102="",D102=""),"",IF(AND(OR(F102="Выдана",F102="Возвращена"),SUMPRODUCT(($B$2:$B$500=B102)*($D$2:$D$500=D102)*(($F$2:$F$500="Выдана")+($F$2:$F$500="Возвращена")))&gt;1),"Дубль",""))</f>
        <v/>
      </c>
      <c r="I102" s="13">
        <f>IF(OR(B102="",COUNT(D102:E102)&lt;2,E102&lt;D102),"",IF(Настройки!$B$6=Настройки!$M$3,INT(E102)-INT(D102)+1,ROUNDUP(ROUND((E102-D102)*24,2)/24,0)))</f>
        <v/>
      </c>
      <c r="J102" s="14" t="n"/>
      <c r="K102" s="15">
        <f>IF(OR(I102="",J102=""),"",IF(F102="Отменена",0,ROUND(I102*J102,2)))</f>
        <v/>
      </c>
      <c r="L102" s="15">
        <f>IF(K102="","",ROUND(K102*Настройки!$B$5,2))</f>
        <v/>
      </c>
      <c r="M102" s="15">
        <f>IF(A102="","",SUMIFS(Начисления!$M$2:$M$1000,Начисления!$F$2:$F$1000,A102))</f>
        <v/>
      </c>
      <c r="N102" s="15">
        <f>IF(A102="","",SUM(K102:M102))</f>
        <v/>
      </c>
      <c r="O102" s="14" t="n"/>
      <c r="P102" s="15">
        <f>IF(A102="","",N102-O102)</f>
        <v/>
      </c>
      <c r="Q102" s="10" t="n"/>
      <c r="R102" s="10" t="n"/>
      <c r="S102" s="16">
        <f>IF(ISNUMBER(D102),D102+TIME(3,0,0),"")</f>
        <v/>
      </c>
      <c r="T102" s="10" t="n"/>
      <c r="U102" s="17">
        <f>IF(OR(B102="",COUNT(D102:E102)&lt;2,E102&lt;D102,F102="Отменена"),0,MAX(0,MIN(E102,Сводка!$B$4)-MAX(D102,Сводка!$B$2)))</f>
        <v/>
      </c>
    </row>
    <row r="103">
      <c r="A103" s="9" t="n"/>
      <c r="B103" s="10" t="n"/>
      <c r="C103" s="10" t="n"/>
      <c r="D103" s="11" t="n"/>
      <c r="E103" s="11" t="n"/>
      <c r="F103" s="10" t="n"/>
      <c r="G103" s="12">
        <f>IF(B103="","",IF(OR(COUNT(D103:E103)&lt;2,E103&lt;D103),"Проверьте даты",IF(OR(F103="Отменена",F103="Возвращена"),"",IF(SUMPRODUCT(($B$2:$B$500=B103)*($D$2:$D$500&lt;=E103)*($E$2:$E$500&gt;=D103)*($F$2:$F$500&lt;&gt;"Отменена")*($F$2:$F$500&lt;&gt;"Возвращена"))&gt;1,"Пересечение","ОК"))))</f>
        <v/>
      </c>
      <c r="H103" s="12">
        <f>IF(OR(B103="",D103=""),"",IF(AND(OR(F103="Выдана",F103="Возвращена"),SUMPRODUCT(($B$2:$B$500=B103)*($D$2:$D$500=D103)*(($F$2:$F$500="Выдана")+($F$2:$F$500="Возвращена")))&gt;1),"Дубль",""))</f>
        <v/>
      </c>
      <c r="I103" s="13">
        <f>IF(OR(B103="",COUNT(D103:E103)&lt;2,E103&lt;D103),"",IF(Настройки!$B$6=Настройки!$M$3,INT(E103)-INT(D103)+1,ROUNDUP(ROUND((E103-D103)*24,2)/24,0)))</f>
        <v/>
      </c>
      <c r="J103" s="14" t="n"/>
      <c r="K103" s="15">
        <f>IF(OR(I103="",J103=""),"",IF(F103="Отменена",0,ROUND(I103*J103,2)))</f>
        <v/>
      </c>
      <c r="L103" s="15">
        <f>IF(K103="","",ROUND(K103*Настройки!$B$5,2))</f>
        <v/>
      </c>
      <c r="M103" s="15">
        <f>IF(A103="","",SUMIFS(Начисления!$M$2:$M$1000,Начисления!$F$2:$F$1000,A103))</f>
        <v/>
      </c>
      <c r="N103" s="15">
        <f>IF(A103="","",SUM(K103:M103))</f>
        <v/>
      </c>
      <c r="O103" s="14" t="n"/>
      <c r="P103" s="15">
        <f>IF(A103="","",N103-O103)</f>
        <v/>
      </c>
      <c r="Q103" s="10" t="n"/>
      <c r="R103" s="10" t="n"/>
      <c r="S103" s="16">
        <f>IF(ISNUMBER(D103),D103+TIME(3,0,0),"")</f>
        <v/>
      </c>
      <c r="T103" s="10" t="n"/>
      <c r="U103" s="17">
        <f>IF(OR(B103="",COUNT(D103:E103)&lt;2,E103&lt;D103,F103="Отменена"),0,MAX(0,MIN(E103,Сводка!$B$4)-MAX(D103,Сводка!$B$2)))</f>
        <v/>
      </c>
    </row>
    <row r="104">
      <c r="A104" s="9" t="n"/>
      <c r="B104" s="10" t="n"/>
      <c r="C104" s="10" t="n"/>
      <c r="D104" s="11" t="n"/>
      <c r="E104" s="11" t="n"/>
      <c r="F104" s="10" t="n"/>
      <c r="G104" s="12">
        <f>IF(B104="","",IF(OR(COUNT(D104:E104)&lt;2,E104&lt;D104),"Проверьте даты",IF(OR(F104="Отменена",F104="Возвращена"),"",IF(SUMPRODUCT(($B$2:$B$500=B104)*($D$2:$D$500&lt;=E104)*($E$2:$E$500&gt;=D104)*($F$2:$F$500&lt;&gt;"Отменена")*($F$2:$F$500&lt;&gt;"Возвращена"))&gt;1,"Пересечение","ОК"))))</f>
        <v/>
      </c>
      <c r="H104" s="12">
        <f>IF(OR(B104="",D104=""),"",IF(AND(OR(F104="Выдана",F104="Возвращена"),SUMPRODUCT(($B$2:$B$500=B104)*($D$2:$D$500=D104)*(($F$2:$F$500="Выдана")+($F$2:$F$500="Возвращена")))&gt;1),"Дубль",""))</f>
        <v/>
      </c>
      <c r="I104" s="13">
        <f>IF(OR(B104="",COUNT(D104:E104)&lt;2,E104&lt;D104),"",IF(Настройки!$B$6=Настройки!$M$3,INT(E104)-INT(D104)+1,ROUNDUP(ROUND((E104-D104)*24,2)/24,0)))</f>
        <v/>
      </c>
      <c r="J104" s="14" t="n"/>
      <c r="K104" s="15">
        <f>IF(OR(I104="",J104=""),"",IF(F104="Отменена",0,ROUND(I104*J104,2)))</f>
        <v/>
      </c>
      <c r="L104" s="15">
        <f>IF(K104="","",ROUND(K104*Настройки!$B$5,2))</f>
        <v/>
      </c>
      <c r="M104" s="15">
        <f>IF(A104="","",SUMIFS(Начисления!$M$2:$M$1000,Начисления!$F$2:$F$1000,A104))</f>
        <v/>
      </c>
      <c r="N104" s="15">
        <f>IF(A104="","",SUM(K104:M104))</f>
        <v/>
      </c>
      <c r="O104" s="14" t="n"/>
      <c r="P104" s="15">
        <f>IF(A104="","",N104-O104)</f>
        <v/>
      </c>
      <c r="Q104" s="10" t="n"/>
      <c r="R104" s="10" t="n"/>
      <c r="S104" s="16">
        <f>IF(ISNUMBER(D104),D104+TIME(3,0,0),"")</f>
        <v/>
      </c>
      <c r="T104" s="10" t="n"/>
      <c r="U104" s="17">
        <f>IF(OR(B104="",COUNT(D104:E104)&lt;2,E104&lt;D104,F104="Отменена"),0,MAX(0,MIN(E104,Сводка!$B$4)-MAX(D104,Сводка!$B$2)))</f>
        <v/>
      </c>
    </row>
    <row r="105">
      <c r="A105" s="9" t="n"/>
      <c r="B105" s="10" t="n"/>
      <c r="C105" s="10" t="n"/>
      <c r="D105" s="11" t="n"/>
      <c r="E105" s="11" t="n"/>
      <c r="F105" s="10" t="n"/>
      <c r="G105" s="12">
        <f>IF(B105="","",IF(OR(COUNT(D105:E105)&lt;2,E105&lt;D105),"Проверьте даты",IF(OR(F105="Отменена",F105="Возвращена"),"",IF(SUMPRODUCT(($B$2:$B$500=B105)*($D$2:$D$500&lt;=E105)*($E$2:$E$500&gt;=D105)*($F$2:$F$500&lt;&gt;"Отменена")*($F$2:$F$500&lt;&gt;"Возвращена"))&gt;1,"Пересечение","ОК"))))</f>
        <v/>
      </c>
      <c r="H105" s="12">
        <f>IF(OR(B105="",D105=""),"",IF(AND(OR(F105="Выдана",F105="Возвращена"),SUMPRODUCT(($B$2:$B$500=B105)*($D$2:$D$500=D105)*(($F$2:$F$500="Выдана")+($F$2:$F$500="Возвращена")))&gt;1),"Дубль",""))</f>
        <v/>
      </c>
      <c r="I105" s="13">
        <f>IF(OR(B105="",COUNT(D105:E105)&lt;2,E105&lt;D105),"",IF(Настройки!$B$6=Настройки!$M$3,INT(E105)-INT(D105)+1,ROUNDUP(ROUND((E105-D105)*24,2)/24,0)))</f>
        <v/>
      </c>
      <c r="J105" s="14" t="n"/>
      <c r="K105" s="15">
        <f>IF(OR(I105="",J105=""),"",IF(F105="Отменена",0,ROUND(I105*J105,2)))</f>
        <v/>
      </c>
      <c r="L105" s="15">
        <f>IF(K105="","",ROUND(K105*Настройки!$B$5,2))</f>
        <v/>
      </c>
      <c r="M105" s="15">
        <f>IF(A105="","",SUMIFS(Начисления!$M$2:$M$1000,Начисления!$F$2:$F$1000,A105))</f>
        <v/>
      </c>
      <c r="N105" s="15">
        <f>IF(A105="","",SUM(K105:M105))</f>
        <v/>
      </c>
      <c r="O105" s="14" t="n"/>
      <c r="P105" s="15">
        <f>IF(A105="","",N105-O105)</f>
        <v/>
      </c>
      <c r="Q105" s="10" t="n"/>
      <c r="R105" s="10" t="n"/>
      <c r="S105" s="16">
        <f>IF(ISNUMBER(D105),D105+TIME(3,0,0),"")</f>
        <v/>
      </c>
      <c r="T105" s="10" t="n"/>
      <c r="U105" s="17">
        <f>IF(OR(B105="",COUNT(D105:E105)&lt;2,E105&lt;D105,F105="Отменена"),0,MAX(0,MIN(E105,Сводка!$B$4)-MAX(D105,Сводка!$B$2)))</f>
        <v/>
      </c>
    </row>
    <row r="106">
      <c r="A106" s="9" t="n"/>
      <c r="B106" s="10" t="n"/>
      <c r="C106" s="10" t="n"/>
      <c r="D106" s="11" t="n"/>
      <c r="E106" s="11" t="n"/>
      <c r="F106" s="10" t="n"/>
      <c r="G106" s="12">
        <f>IF(B106="","",IF(OR(COUNT(D106:E106)&lt;2,E106&lt;D106),"Проверьте даты",IF(OR(F106="Отменена",F106="Возвращена"),"",IF(SUMPRODUCT(($B$2:$B$500=B106)*($D$2:$D$500&lt;=E106)*($E$2:$E$500&gt;=D106)*($F$2:$F$500&lt;&gt;"Отменена")*($F$2:$F$500&lt;&gt;"Возвращена"))&gt;1,"Пересечение","ОК"))))</f>
        <v/>
      </c>
      <c r="H106" s="12">
        <f>IF(OR(B106="",D106=""),"",IF(AND(OR(F106="Выдана",F106="Возвращена"),SUMPRODUCT(($B$2:$B$500=B106)*($D$2:$D$500=D106)*(($F$2:$F$500="Выдана")+($F$2:$F$500="Возвращена")))&gt;1),"Дубль",""))</f>
        <v/>
      </c>
      <c r="I106" s="13">
        <f>IF(OR(B106="",COUNT(D106:E106)&lt;2,E106&lt;D106),"",IF(Настройки!$B$6=Настройки!$M$3,INT(E106)-INT(D106)+1,ROUNDUP(ROUND((E106-D106)*24,2)/24,0)))</f>
        <v/>
      </c>
      <c r="J106" s="14" t="n"/>
      <c r="K106" s="15">
        <f>IF(OR(I106="",J106=""),"",IF(F106="Отменена",0,ROUND(I106*J106,2)))</f>
        <v/>
      </c>
      <c r="L106" s="15">
        <f>IF(K106="","",ROUND(K106*Настройки!$B$5,2))</f>
        <v/>
      </c>
      <c r="M106" s="15">
        <f>IF(A106="","",SUMIFS(Начисления!$M$2:$M$1000,Начисления!$F$2:$F$1000,A106))</f>
        <v/>
      </c>
      <c r="N106" s="15">
        <f>IF(A106="","",SUM(K106:M106))</f>
        <v/>
      </c>
      <c r="O106" s="14" t="n"/>
      <c r="P106" s="15">
        <f>IF(A106="","",N106-O106)</f>
        <v/>
      </c>
      <c r="Q106" s="10" t="n"/>
      <c r="R106" s="10" t="n"/>
      <c r="S106" s="16">
        <f>IF(ISNUMBER(D106),D106+TIME(3,0,0),"")</f>
        <v/>
      </c>
      <c r="T106" s="10" t="n"/>
      <c r="U106" s="17">
        <f>IF(OR(B106="",COUNT(D106:E106)&lt;2,E106&lt;D106,F106="Отменена"),0,MAX(0,MIN(E106,Сводка!$B$4)-MAX(D106,Сводка!$B$2)))</f>
        <v/>
      </c>
    </row>
    <row r="107">
      <c r="A107" s="9" t="n"/>
      <c r="B107" s="10" t="n"/>
      <c r="C107" s="10" t="n"/>
      <c r="D107" s="11" t="n"/>
      <c r="E107" s="11" t="n"/>
      <c r="F107" s="10" t="n"/>
      <c r="G107" s="12">
        <f>IF(B107="","",IF(OR(COUNT(D107:E107)&lt;2,E107&lt;D107),"Проверьте даты",IF(OR(F107="Отменена",F107="Возвращена"),"",IF(SUMPRODUCT(($B$2:$B$500=B107)*($D$2:$D$500&lt;=E107)*($E$2:$E$500&gt;=D107)*($F$2:$F$500&lt;&gt;"Отменена")*($F$2:$F$500&lt;&gt;"Возвращена"))&gt;1,"Пересечение","ОК"))))</f>
        <v/>
      </c>
      <c r="H107" s="12">
        <f>IF(OR(B107="",D107=""),"",IF(AND(OR(F107="Выдана",F107="Возвращена"),SUMPRODUCT(($B$2:$B$500=B107)*($D$2:$D$500=D107)*(($F$2:$F$500="Выдана")+($F$2:$F$500="Возвращена")))&gt;1),"Дубль",""))</f>
        <v/>
      </c>
      <c r="I107" s="13">
        <f>IF(OR(B107="",COUNT(D107:E107)&lt;2,E107&lt;D107),"",IF(Настройки!$B$6=Настройки!$M$3,INT(E107)-INT(D107)+1,ROUNDUP(ROUND((E107-D107)*24,2)/24,0)))</f>
        <v/>
      </c>
      <c r="J107" s="14" t="n"/>
      <c r="K107" s="15">
        <f>IF(OR(I107="",J107=""),"",IF(F107="Отменена",0,ROUND(I107*J107,2)))</f>
        <v/>
      </c>
      <c r="L107" s="15">
        <f>IF(K107="","",ROUND(K107*Настройки!$B$5,2))</f>
        <v/>
      </c>
      <c r="M107" s="15">
        <f>IF(A107="","",SUMIFS(Начисления!$M$2:$M$1000,Начисления!$F$2:$F$1000,A107))</f>
        <v/>
      </c>
      <c r="N107" s="15">
        <f>IF(A107="","",SUM(K107:M107))</f>
        <v/>
      </c>
      <c r="O107" s="14" t="n"/>
      <c r="P107" s="15">
        <f>IF(A107="","",N107-O107)</f>
        <v/>
      </c>
      <c r="Q107" s="10" t="n"/>
      <c r="R107" s="10" t="n"/>
      <c r="S107" s="16">
        <f>IF(ISNUMBER(D107),D107+TIME(3,0,0),"")</f>
        <v/>
      </c>
      <c r="T107" s="10" t="n"/>
      <c r="U107" s="17">
        <f>IF(OR(B107="",COUNT(D107:E107)&lt;2,E107&lt;D107,F107="Отменена"),0,MAX(0,MIN(E107,Сводка!$B$4)-MAX(D107,Сводка!$B$2)))</f>
        <v/>
      </c>
    </row>
    <row r="108">
      <c r="A108" s="9" t="n"/>
      <c r="B108" s="10" t="n"/>
      <c r="C108" s="10" t="n"/>
      <c r="D108" s="11" t="n"/>
      <c r="E108" s="11" t="n"/>
      <c r="F108" s="10" t="n"/>
      <c r="G108" s="12">
        <f>IF(B108="","",IF(OR(COUNT(D108:E108)&lt;2,E108&lt;D108),"Проверьте даты",IF(OR(F108="Отменена",F108="Возвращена"),"",IF(SUMPRODUCT(($B$2:$B$500=B108)*($D$2:$D$500&lt;=E108)*($E$2:$E$500&gt;=D108)*($F$2:$F$500&lt;&gt;"Отменена")*($F$2:$F$500&lt;&gt;"Возвращена"))&gt;1,"Пересечение","ОК"))))</f>
        <v/>
      </c>
      <c r="H108" s="12">
        <f>IF(OR(B108="",D108=""),"",IF(AND(OR(F108="Выдана",F108="Возвращена"),SUMPRODUCT(($B$2:$B$500=B108)*($D$2:$D$500=D108)*(($F$2:$F$500="Выдана")+($F$2:$F$500="Возвращена")))&gt;1),"Дубль",""))</f>
        <v/>
      </c>
      <c r="I108" s="13">
        <f>IF(OR(B108="",COUNT(D108:E108)&lt;2,E108&lt;D108),"",IF(Настройки!$B$6=Настройки!$M$3,INT(E108)-INT(D108)+1,ROUNDUP(ROUND((E108-D108)*24,2)/24,0)))</f>
        <v/>
      </c>
      <c r="J108" s="14" t="n"/>
      <c r="K108" s="15">
        <f>IF(OR(I108="",J108=""),"",IF(F108="Отменена",0,ROUND(I108*J108,2)))</f>
        <v/>
      </c>
      <c r="L108" s="15">
        <f>IF(K108="","",ROUND(K108*Настройки!$B$5,2))</f>
        <v/>
      </c>
      <c r="M108" s="15">
        <f>IF(A108="","",SUMIFS(Начисления!$M$2:$M$1000,Начисления!$F$2:$F$1000,A108))</f>
        <v/>
      </c>
      <c r="N108" s="15">
        <f>IF(A108="","",SUM(K108:M108))</f>
        <v/>
      </c>
      <c r="O108" s="14" t="n"/>
      <c r="P108" s="15">
        <f>IF(A108="","",N108-O108)</f>
        <v/>
      </c>
      <c r="Q108" s="10" t="n"/>
      <c r="R108" s="10" t="n"/>
      <c r="S108" s="16">
        <f>IF(ISNUMBER(D108),D108+TIME(3,0,0),"")</f>
        <v/>
      </c>
      <c r="T108" s="10" t="n"/>
      <c r="U108" s="17">
        <f>IF(OR(B108="",COUNT(D108:E108)&lt;2,E108&lt;D108,F108="Отменена"),0,MAX(0,MIN(E108,Сводка!$B$4)-MAX(D108,Сводка!$B$2)))</f>
        <v/>
      </c>
    </row>
    <row r="109">
      <c r="A109" s="9" t="n"/>
      <c r="B109" s="10" t="n"/>
      <c r="C109" s="10" t="n"/>
      <c r="D109" s="11" t="n"/>
      <c r="E109" s="11" t="n"/>
      <c r="F109" s="10" t="n"/>
      <c r="G109" s="12">
        <f>IF(B109="","",IF(OR(COUNT(D109:E109)&lt;2,E109&lt;D109),"Проверьте даты",IF(OR(F109="Отменена",F109="Возвращена"),"",IF(SUMPRODUCT(($B$2:$B$500=B109)*($D$2:$D$500&lt;=E109)*($E$2:$E$500&gt;=D109)*($F$2:$F$500&lt;&gt;"Отменена")*($F$2:$F$500&lt;&gt;"Возвращена"))&gt;1,"Пересечение","ОК"))))</f>
        <v/>
      </c>
      <c r="H109" s="12">
        <f>IF(OR(B109="",D109=""),"",IF(AND(OR(F109="Выдана",F109="Возвращена"),SUMPRODUCT(($B$2:$B$500=B109)*($D$2:$D$500=D109)*(($F$2:$F$500="Выдана")+($F$2:$F$500="Возвращена")))&gt;1),"Дубль",""))</f>
        <v/>
      </c>
      <c r="I109" s="13">
        <f>IF(OR(B109="",COUNT(D109:E109)&lt;2,E109&lt;D109),"",IF(Настройки!$B$6=Настройки!$M$3,INT(E109)-INT(D109)+1,ROUNDUP(ROUND((E109-D109)*24,2)/24,0)))</f>
        <v/>
      </c>
      <c r="J109" s="14" t="n"/>
      <c r="K109" s="15">
        <f>IF(OR(I109="",J109=""),"",IF(F109="Отменена",0,ROUND(I109*J109,2)))</f>
        <v/>
      </c>
      <c r="L109" s="15">
        <f>IF(K109="","",ROUND(K109*Настройки!$B$5,2))</f>
        <v/>
      </c>
      <c r="M109" s="15">
        <f>IF(A109="","",SUMIFS(Начисления!$M$2:$M$1000,Начисления!$F$2:$F$1000,A109))</f>
        <v/>
      </c>
      <c r="N109" s="15">
        <f>IF(A109="","",SUM(K109:M109))</f>
        <v/>
      </c>
      <c r="O109" s="14" t="n"/>
      <c r="P109" s="15">
        <f>IF(A109="","",N109-O109)</f>
        <v/>
      </c>
      <c r="Q109" s="10" t="n"/>
      <c r="R109" s="10" t="n"/>
      <c r="S109" s="16">
        <f>IF(ISNUMBER(D109),D109+TIME(3,0,0),"")</f>
        <v/>
      </c>
      <c r="T109" s="10" t="n"/>
      <c r="U109" s="17">
        <f>IF(OR(B109="",COUNT(D109:E109)&lt;2,E109&lt;D109,F109="Отменена"),0,MAX(0,MIN(E109,Сводка!$B$4)-MAX(D109,Сводка!$B$2)))</f>
        <v/>
      </c>
    </row>
    <row r="110">
      <c r="A110" s="9" t="n"/>
      <c r="B110" s="10" t="n"/>
      <c r="C110" s="10" t="n"/>
      <c r="D110" s="11" t="n"/>
      <c r="E110" s="11" t="n"/>
      <c r="F110" s="10" t="n"/>
      <c r="G110" s="12">
        <f>IF(B110="","",IF(OR(COUNT(D110:E110)&lt;2,E110&lt;D110),"Проверьте даты",IF(OR(F110="Отменена",F110="Возвращена"),"",IF(SUMPRODUCT(($B$2:$B$500=B110)*($D$2:$D$500&lt;=E110)*($E$2:$E$500&gt;=D110)*($F$2:$F$500&lt;&gt;"Отменена")*($F$2:$F$500&lt;&gt;"Возвращена"))&gt;1,"Пересечение","ОК"))))</f>
        <v/>
      </c>
      <c r="H110" s="12">
        <f>IF(OR(B110="",D110=""),"",IF(AND(OR(F110="Выдана",F110="Возвращена"),SUMPRODUCT(($B$2:$B$500=B110)*($D$2:$D$500=D110)*(($F$2:$F$500="Выдана")+($F$2:$F$500="Возвращена")))&gt;1),"Дубль",""))</f>
        <v/>
      </c>
      <c r="I110" s="13">
        <f>IF(OR(B110="",COUNT(D110:E110)&lt;2,E110&lt;D110),"",IF(Настройки!$B$6=Настройки!$M$3,INT(E110)-INT(D110)+1,ROUNDUP(ROUND((E110-D110)*24,2)/24,0)))</f>
        <v/>
      </c>
      <c r="J110" s="14" t="n"/>
      <c r="K110" s="15">
        <f>IF(OR(I110="",J110=""),"",IF(F110="Отменена",0,ROUND(I110*J110,2)))</f>
        <v/>
      </c>
      <c r="L110" s="15">
        <f>IF(K110="","",ROUND(K110*Настройки!$B$5,2))</f>
        <v/>
      </c>
      <c r="M110" s="15">
        <f>IF(A110="","",SUMIFS(Начисления!$M$2:$M$1000,Начисления!$F$2:$F$1000,A110))</f>
        <v/>
      </c>
      <c r="N110" s="15">
        <f>IF(A110="","",SUM(K110:M110))</f>
        <v/>
      </c>
      <c r="O110" s="14" t="n"/>
      <c r="P110" s="15">
        <f>IF(A110="","",N110-O110)</f>
        <v/>
      </c>
      <c r="Q110" s="10" t="n"/>
      <c r="R110" s="10" t="n"/>
      <c r="S110" s="16">
        <f>IF(ISNUMBER(D110),D110+TIME(3,0,0),"")</f>
        <v/>
      </c>
      <c r="T110" s="10" t="n"/>
      <c r="U110" s="17">
        <f>IF(OR(B110="",COUNT(D110:E110)&lt;2,E110&lt;D110,F110="Отменена"),0,MAX(0,MIN(E110,Сводка!$B$4)-MAX(D110,Сводка!$B$2)))</f>
        <v/>
      </c>
    </row>
    <row r="111">
      <c r="A111" s="9" t="n"/>
      <c r="B111" s="10" t="n"/>
      <c r="C111" s="10" t="n"/>
      <c r="D111" s="11" t="n"/>
      <c r="E111" s="11" t="n"/>
      <c r="F111" s="10" t="n"/>
      <c r="G111" s="12">
        <f>IF(B111="","",IF(OR(COUNT(D111:E111)&lt;2,E111&lt;D111),"Проверьте даты",IF(OR(F111="Отменена",F111="Возвращена"),"",IF(SUMPRODUCT(($B$2:$B$500=B111)*($D$2:$D$500&lt;=E111)*($E$2:$E$500&gt;=D111)*($F$2:$F$500&lt;&gt;"Отменена")*($F$2:$F$500&lt;&gt;"Возвращена"))&gt;1,"Пересечение","ОК"))))</f>
        <v/>
      </c>
      <c r="H111" s="12">
        <f>IF(OR(B111="",D111=""),"",IF(AND(OR(F111="Выдана",F111="Возвращена"),SUMPRODUCT(($B$2:$B$500=B111)*($D$2:$D$500=D111)*(($F$2:$F$500="Выдана")+($F$2:$F$500="Возвращена")))&gt;1),"Дубль",""))</f>
        <v/>
      </c>
      <c r="I111" s="13">
        <f>IF(OR(B111="",COUNT(D111:E111)&lt;2,E111&lt;D111),"",IF(Настройки!$B$6=Настройки!$M$3,INT(E111)-INT(D111)+1,ROUNDUP(ROUND((E111-D111)*24,2)/24,0)))</f>
        <v/>
      </c>
      <c r="J111" s="14" t="n"/>
      <c r="K111" s="15">
        <f>IF(OR(I111="",J111=""),"",IF(F111="Отменена",0,ROUND(I111*J111,2)))</f>
        <v/>
      </c>
      <c r="L111" s="15">
        <f>IF(K111="","",ROUND(K111*Настройки!$B$5,2))</f>
        <v/>
      </c>
      <c r="M111" s="15">
        <f>IF(A111="","",SUMIFS(Начисления!$M$2:$M$1000,Начисления!$F$2:$F$1000,A111))</f>
        <v/>
      </c>
      <c r="N111" s="15">
        <f>IF(A111="","",SUM(K111:M111))</f>
        <v/>
      </c>
      <c r="O111" s="14" t="n"/>
      <c r="P111" s="15">
        <f>IF(A111="","",N111-O111)</f>
        <v/>
      </c>
      <c r="Q111" s="10" t="n"/>
      <c r="R111" s="10" t="n"/>
      <c r="S111" s="16">
        <f>IF(ISNUMBER(D111),D111+TIME(3,0,0),"")</f>
        <v/>
      </c>
      <c r="T111" s="10" t="n"/>
      <c r="U111" s="17">
        <f>IF(OR(B111="",COUNT(D111:E111)&lt;2,E111&lt;D111,F111="Отменена"),0,MAX(0,MIN(E111,Сводка!$B$4)-MAX(D111,Сводка!$B$2)))</f>
        <v/>
      </c>
    </row>
    <row r="112">
      <c r="A112" s="9" t="n"/>
      <c r="B112" s="10" t="n"/>
      <c r="C112" s="10" t="n"/>
      <c r="D112" s="11" t="n"/>
      <c r="E112" s="11" t="n"/>
      <c r="F112" s="10" t="n"/>
      <c r="G112" s="12">
        <f>IF(B112="","",IF(OR(COUNT(D112:E112)&lt;2,E112&lt;D112),"Проверьте даты",IF(OR(F112="Отменена",F112="Возвращена"),"",IF(SUMPRODUCT(($B$2:$B$500=B112)*($D$2:$D$500&lt;=E112)*($E$2:$E$500&gt;=D112)*($F$2:$F$500&lt;&gt;"Отменена")*($F$2:$F$500&lt;&gt;"Возвращена"))&gt;1,"Пересечение","ОК"))))</f>
        <v/>
      </c>
      <c r="H112" s="12">
        <f>IF(OR(B112="",D112=""),"",IF(AND(OR(F112="Выдана",F112="Возвращена"),SUMPRODUCT(($B$2:$B$500=B112)*($D$2:$D$500=D112)*(($F$2:$F$500="Выдана")+($F$2:$F$500="Возвращена")))&gt;1),"Дубль",""))</f>
        <v/>
      </c>
      <c r="I112" s="13">
        <f>IF(OR(B112="",COUNT(D112:E112)&lt;2,E112&lt;D112),"",IF(Настройки!$B$6=Настройки!$M$3,INT(E112)-INT(D112)+1,ROUNDUP(ROUND((E112-D112)*24,2)/24,0)))</f>
        <v/>
      </c>
      <c r="J112" s="14" t="n"/>
      <c r="K112" s="15">
        <f>IF(OR(I112="",J112=""),"",IF(F112="Отменена",0,ROUND(I112*J112,2)))</f>
        <v/>
      </c>
      <c r="L112" s="15">
        <f>IF(K112="","",ROUND(K112*Настройки!$B$5,2))</f>
        <v/>
      </c>
      <c r="M112" s="15">
        <f>IF(A112="","",SUMIFS(Начисления!$M$2:$M$1000,Начисления!$F$2:$F$1000,A112))</f>
        <v/>
      </c>
      <c r="N112" s="15">
        <f>IF(A112="","",SUM(K112:M112))</f>
        <v/>
      </c>
      <c r="O112" s="14" t="n"/>
      <c r="P112" s="15">
        <f>IF(A112="","",N112-O112)</f>
        <v/>
      </c>
      <c r="Q112" s="10" t="n"/>
      <c r="R112" s="10" t="n"/>
      <c r="S112" s="16">
        <f>IF(ISNUMBER(D112),D112+TIME(3,0,0),"")</f>
        <v/>
      </c>
      <c r="T112" s="10" t="n"/>
      <c r="U112" s="17">
        <f>IF(OR(B112="",COUNT(D112:E112)&lt;2,E112&lt;D112,F112="Отменена"),0,MAX(0,MIN(E112,Сводка!$B$4)-MAX(D112,Сводка!$B$2)))</f>
        <v/>
      </c>
    </row>
    <row r="113">
      <c r="A113" s="9" t="n"/>
      <c r="B113" s="10" t="n"/>
      <c r="C113" s="10" t="n"/>
      <c r="D113" s="11" t="n"/>
      <c r="E113" s="11" t="n"/>
      <c r="F113" s="10" t="n"/>
      <c r="G113" s="12">
        <f>IF(B113="","",IF(OR(COUNT(D113:E113)&lt;2,E113&lt;D113),"Проверьте даты",IF(OR(F113="Отменена",F113="Возвращена"),"",IF(SUMPRODUCT(($B$2:$B$500=B113)*($D$2:$D$500&lt;=E113)*($E$2:$E$500&gt;=D113)*($F$2:$F$500&lt;&gt;"Отменена")*($F$2:$F$500&lt;&gt;"Возвращена"))&gt;1,"Пересечение","ОК"))))</f>
        <v/>
      </c>
      <c r="H113" s="12">
        <f>IF(OR(B113="",D113=""),"",IF(AND(OR(F113="Выдана",F113="Возвращена"),SUMPRODUCT(($B$2:$B$500=B113)*($D$2:$D$500=D113)*(($F$2:$F$500="Выдана")+($F$2:$F$500="Возвращена")))&gt;1),"Дубль",""))</f>
        <v/>
      </c>
      <c r="I113" s="13">
        <f>IF(OR(B113="",COUNT(D113:E113)&lt;2,E113&lt;D113),"",IF(Настройки!$B$6=Настройки!$M$3,INT(E113)-INT(D113)+1,ROUNDUP(ROUND((E113-D113)*24,2)/24,0)))</f>
        <v/>
      </c>
      <c r="J113" s="14" t="n"/>
      <c r="K113" s="15">
        <f>IF(OR(I113="",J113=""),"",IF(F113="Отменена",0,ROUND(I113*J113,2)))</f>
        <v/>
      </c>
      <c r="L113" s="15">
        <f>IF(K113="","",ROUND(K113*Настройки!$B$5,2))</f>
        <v/>
      </c>
      <c r="M113" s="15">
        <f>IF(A113="","",SUMIFS(Начисления!$M$2:$M$1000,Начисления!$F$2:$F$1000,A113))</f>
        <v/>
      </c>
      <c r="N113" s="15">
        <f>IF(A113="","",SUM(K113:M113))</f>
        <v/>
      </c>
      <c r="O113" s="14" t="n"/>
      <c r="P113" s="15">
        <f>IF(A113="","",N113-O113)</f>
        <v/>
      </c>
      <c r="Q113" s="10" t="n"/>
      <c r="R113" s="10" t="n"/>
      <c r="S113" s="16">
        <f>IF(ISNUMBER(D113),D113+TIME(3,0,0),"")</f>
        <v/>
      </c>
      <c r="T113" s="10" t="n"/>
      <c r="U113" s="17">
        <f>IF(OR(B113="",COUNT(D113:E113)&lt;2,E113&lt;D113,F113="Отменена"),0,MAX(0,MIN(E113,Сводка!$B$4)-MAX(D113,Сводка!$B$2)))</f>
        <v/>
      </c>
    </row>
    <row r="114">
      <c r="A114" s="9" t="n"/>
      <c r="B114" s="10" t="n"/>
      <c r="C114" s="10" t="n"/>
      <c r="D114" s="11" t="n"/>
      <c r="E114" s="11" t="n"/>
      <c r="F114" s="10" t="n"/>
      <c r="G114" s="12">
        <f>IF(B114="","",IF(OR(COUNT(D114:E114)&lt;2,E114&lt;D114),"Проверьте даты",IF(OR(F114="Отменена",F114="Возвращена"),"",IF(SUMPRODUCT(($B$2:$B$500=B114)*($D$2:$D$500&lt;=E114)*($E$2:$E$500&gt;=D114)*($F$2:$F$500&lt;&gt;"Отменена")*($F$2:$F$500&lt;&gt;"Возвращена"))&gt;1,"Пересечение","ОК"))))</f>
        <v/>
      </c>
      <c r="H114" s="12">
        <f>IF(OR(B114="",D114=""),"",IF(AND(OR(F114="Выдана",F114="Возвращена"),SUMPRODUCT(($B$2:$B$500=B114)*($D$2:$D$500=D114)*(($F$2:$F$500="Выдана")+($F$2:$F$500="Возвращена")))&gt;1),"Дубль",""))</f>
        <v/>
      </c>
      <c r="I114" s="13">
        <f>IF(OR(B114="",COUNT(D114:E114)&lt;2,E114&lt;D114),"",IF(Настройки!$B$6=Настройки!$M$3,INT(E114)-INT(D114)+1,ROUNDUP(ROUND((E114-D114)*24,2)/24,0)))</f>
        <v/>
      </c>
      <c r="J114" s="14" t="n"/>
      <c r="K114" s="15">
        <f>IF(OR(I114="",J114=""),"",IF(F114="Отменена",0,ROUND(I114*J114,2)))</f>
        <v/>
      </c>
      <c r="L114" s="15">
        <f>IF(K114="","",ROUND(K114*Настройки!$B$5,2))</f>
        <v/>
      </c>
      <c r="M114" s="15">
        <f>IF(A114="","",SUMIFS(Начисления!$M$2:$M$1000,Начисления!$F$2:$F$1000,A114))</f>
        <v/>
      </c>
      <c r="N114" s="15">
        <f>IF(A114="","",SUM(K114:M114))</f>
        <v/>
      </c>
      <c r="O114" s="14" t="n"/>
      <c r="P114" s="15">
        <f>IF(A114="","",N114-O114)</f>
        <v/>
      </c>
      <c r="Q114" s="10" t="n"/>
      <c r="R114" s="10" t="n"/>
      <c r="S114" s="16">
        <f>IF(ISNUMBER(D114),D114+TIME(3,0,0),"")</f>
        <v/>
      </c>
      <c r="T114" s="10" t="n"/>
      <c r="U114" s="17">
        <f>IF(OR(B114="",COUNT(D114:E114)&lt;2,E114&lt;D114,F114="Отменена"),0,MAX(0,MIN(E114,Сводка!$B$4)-MAX(D114,Сводка!$B$2)))</f>
        <v/>
      </c>
    </row>
    <row r="115">
      <c r="A115" s="9" t="n"/>
      <c r="B115" s="10" t="n"/>
      <c r="C115" s="10" t="n"/>
      <c r="D115" s="11" t="n"/>
      <c r="E115" s="11" t="n"/>
      <c r="F115" s="10" t="n"/>
      <c r="G115" s="12">
        <f>IF(B115="","",IF(OR(COUNT(D115:E115)&lt;2,E115&lt;D115),"Проверьте даты",IF(OR(F115="Отменена",F115="Возвращена"),"",IF(SUMPRODUCT(($B$2:$B$500=B115)*($D$2:$D$500&lt;=E115)*($E$2:$E$500&gt;=D115)*($F$2:$F$500&lt;&gt;"Отменена")*($F$2:$F$500&lt;&gt;"Возвращена"))&gt;1,"Пересечение","ОК"))))</f>
        <v/>
      </c>
      <c r="H115" s="12">
        <f>IF(OR(B115="",D115=""),"",IF(AND(OR(F115="Выдана",F115="Возвращена"),SUMPRODUCT(($B$2:$B$500=B115)*($D$2:$D$500=D115)*(($F$2:$F$500="Выдана")+($F$2:$F$500="Возвращена")))&gt;1),"Дубль",""))</f>
        <v/>
      </c>
      <c r="I115" s="13">
        <f>IF(OR(B115="",COUNT(D115:E115)&lt;2,E115&lt;D115),"",IF(Настройки!$B$6=Настройки!$M$3,INT(E115)-INT(D115)+1,ROUNDUP(ROUND((E115-D115)*24,2)/24,0)))</f>
        <v/>
      </c>
      <c r="J115" s="14" t="n"/>
      <c r="K115" s="15">
        <f>IF(OR(I115="",J115=""),"",IF(F115="Отменена",0,ROUND(I115*J115,2)))</f>
        <v/>
      </c>
      <c r="L115" s="15">
        <f>IF(K115="","",ROUND(K115*Настройки!$B$5,2))</f>
        <v/>
      </c>
      <c r="M115" s="15">
        <f>IF(A115="","",SUMIFS(Начисления!$M$2:$M$1000,Начисления!$F$2:$F$1000,A115))</f>
        <v/>
      </c>
      <c r="N115" s="15">
        <f>IF(A115="","",SUM(K115:M115))</f>
        <v/>
      </c>
      <c r="O115" s="14" t="n"/>
      <c r="P115" s="15">
        <f>IF(A115="","",N115-O115)</f>
        <v/>
      </c>
      <c r="Q115" s="10" t="n"/>
      <c r="R115" s="10" t="n"/>
      <c r="S115" s="16">
        <f>IF(ISNUMBER(D115),D115+TIME(3,0,0),"")</f>
        <v/>
      </c>
      <c r="T115" s="10" t="n"/>
      <c r="U115" s="17">
        <f>IF(OR(B115="",COUNT(D115:E115)&lt;2,E115&lt;D115,F115="Отменена"),0,MAX(0,MIN(E115,Сводка!$B$4)-MAX(D115,Сводка!$B$2)))</f>
        <v/>
      </c>
    </row>
    <row r="116">
      <c r="A116" s="9" t="n"/>
      <c r="B116" s="10" t="n"/>
      <c r="C116" s="10" t="n"/>
      <c r="D116" s="11" t="n"/>
      <c r="E116" s="11" t="n"/>
      <c r="F116" s="10" t="n"/>
      <c r="G116" s="12">
        <f>IF(B116="","",IF(OR(COUNT(D116:E116)&lt;2,E116&lt;D116),"Проверьте даты",IF(OR(F116="Отменена",F116="Возвращена"),"",IF(SUMPRODUCT(($B$2:$B$500=B116)*($D$2:$D$500&lt;=E116)*($E$2:$E$500&gt;=D116)*($F$2:$F$500&lt;&gt;"Отменена")*($F$2:$F$500&lt;&gt;"Возвращена"))&gt;1,"Пересечение","ОК"))))</f>
        <v/>
      </c>
      <c r="H116" s="12">
        <f>IF(OR(B116="",D116=""),"",IF(AND(OR(F116="Выдана",F116="Возвращена"),SUMPRODUCT(($B$2:$B$500=B116)*($D$2:$D$500=D116)*(($F$2:$F$500="Выдана")+($F$2:$F$500="Возвращена")))&gt;1),"Дубль",""))</f>
        <v/>
      </c>
      <c r="I116" s="13">
        <f>IF(OR(B116="",COUNT(D116:E116)&lt;2,E116&lt;D116),"",IF(Настройки!$B$6=Настройки!$M$3,INT(E116)-INT(D116)+1,ROUNDUP(ROUND((E116-D116)*24,2)/24,0)))</f>
        <v/>
      </c>
      <c r="J116" s="14" t="n"/>
      <c r="K116" s="15">
        <f>IF(OR(I116="",J116=""),"",IF(F116="Отменена",0,ROUND(I116*J116,2)))</f>
        <v/>
      </c>
      <c r="L116" s="15">
        <f>IF(K116="","",ROUND(K116*Настройки!$B$5,2))</f>
        <v/>
      </c>
      <c r="M116" s="15">
        <f>IF(A116="","",SUMIFS(Начисления!$M$2:$M$1000,Начисления!$F$2:$F$1000,A116))</f>
        <v/>
      </c>
      <c r="N116" s="15">
        <f>IF(A116="","",SUM(K116:M116))</f>
        <v/>
      </c>
      <c r="O116" s="14" t="n"/>
      <c r="P116" s="15">
        <f>IF(A116="","",N116-O116)</f>
        <v/>
      </c>
      <c r="Q116" s="10" t="n"/>
      <c r="R116" s="10" t="n"/>
      <c r="S116" s="16">
        <f>IF(ISNUMBER(D116),D116+TIME(3,0,0),"")</f>
        <v/>
      </c>
      <c r="T116" s="10" t="n"/>
      <c r="U116" s="17">
        <f>IF(OR(B116="",COUNT(D116:E116)&lt;2,E116&lt;D116,F116="Отменена"),0,MAX(0,MIN(E116,Сводка!$B$4)-MAX(D116,Сводка!$B$2)))</f>
        <v/>
      </c>
    </row>
    <row r="117">
      <c r="A117" s="9" t="n"/>
      <c r="B117" s="10" t="n"/>
      <c r="C117" s="10" t="n"/>
      <c r="D117" s="11" t="n"/>
      <c r="E117" s="11" t="n"/>
      <c r="F117" s="10" t="n"/>
      <c r="G117" s="12">
        <f>IF(B117="","",IF(OR(COUNT(D117:E117)&lt;2,E117&lt;D117),"Проверьте даты",IF(OR(F117="Отменена",F117="Возвращена"),"",IF(SUMPRODUCT(($B$2:$B$500=B117)*($D$2:$D$500&lt;=E117)*($E$2:$E$500&gt;=D117)*($F$2:$F$500&lt;&gt;"Отменена")*($F$2:$F$500&lt;&gt;"Возвращена"))&gt;1,"Пересечение","ОК"))))</f>
        <v/>
      </c>
      <c r="H117" s="12">
        <f>IF(OR(B117="",D117=""),"",IF(AND(OR(F117="Выдана",F117="Возвращена"),SUMPRODUCT(($B$2:$B$500=B117)*($D$2:$D$500=D117)*(($F$2:$F$500="Выдана")+($F$2:$F$500="Возвращена")))&gt;1),"Дубль",""))</f>
        <v/>
      </c>
      <c r="I117" s="13">
        <f>IF(OR(B117="",COUNT(D117:E117)&lt;2,E117&lt;D117),"",IF(Настройки!$B$6=Настройки!$M$3,INT(E117)-INT(D117)+1,ROUNDUP(ROUND((E117-D117)*24,2)/24,0)))</f>
        <v/>
      </c>
      <c r="J117" s="14" t="n"/>
      <c r="K117" s="15">
        <f>IF(OR(I117="",J117=""),"",IF(F117="Отменена",0,ROUND(I117*J117,2)))</f>
        <v/>
      </c>
      <c r="L117" s="15">
        <f>IF(K117="","",ROUND(K117*Настройки!$B$5,2))</f>
        <v/>
      </c>
      <c r="M117" s="15">
        <f>IF(A117="","",SUMIFS(Начисления!$M$2:$M$1000,Начисления!$F$2:$F$1000,A117))</f>
        <v/>
      </c>
      <c r="N117" s="15">
        <f>IF(A117="","",SUM(K117:M117))</f>
        <v/>
      </c>
      <c r="O117" s="14" t="n"/>
      <c r="P117" s="15">
        <f>IF(A117="","",N117-O117)</f>
        <v/>
      </c>
      <c r="Q117" s="10" t="n"/>
      <c r="R117" s="10" t="n"/>
      <c r="S117" s="16">
        <f>IF(ISNUMBER(D117),D117+TIME(3,0,0),"")</f>
        <v/>
      </c>
      <c r="T117" s="10" t="n"/>
      <c r="U117" s="17">
        <f>IF(OR(B117="",COUNT(D117:E117)&lt;2,E117&lt;D117,F117="Отменена"),0,MAX(0,MIN(E117,Сводка!$B$4)-MAX(D117,Сводка!$B$2)))</f>
        <v/>
      </c>
    </row>
    <row r="118">
      <c r="A118" s="9" t="n"/>
      <c r="B118" s="10" t="n"/>
      <c r="C118" s="10" t="n"/>
      <c r="D118" s="11" t="n"/>
      <c r="E118" s="11" t="n"/>
      <c r="F118" s="10" t="n"/>
      <c r="G118" s="12">
        <f>IF(B118="","",IF(OR(COUNT(D118:E118)&lt;2,E118&lt;D118),"Проверьте даты",IF(OR(F118="Отменена",F118="Возвращена"),"",IF(SUMPRODUCT(($B$2:$B$500=B118)*($D$2:$D$500&lt;=E118)*($E$2:$E$500&gt;=D118)*($F$2:$F$500&lt;&gt;"Отменена")*($F$2:$F$500&lt;&gt;"Возвращена"))&gt;1,"Пересечение","ОК"))))</f>
        <v/>
      </c>
      <c r="H118" s="12">
        <f>IF(OR(B118="",D118=""),"",IF(AND(OR(F118="Выдана",F118="Возвращена"),SUMPRODUCT(($B$2:$B$500=B118)*($D$2:$D$500=D118)*(($F$2:$F$500="Выдана")+($F$2:$F$500="Возвращена")))&gt;1),"Дубль",""))</f>
        <v/>
      </c>
      <c r="I118" s="13">
        <f>IF(OR(B118="",COUNT(D118:E118)&lt;2,E118&lt;D118),"",IF(Настройки!$B$6=Настройки!$M$3,INT(E118)-INT(D118)+1,ROUNDUP(ROUND((E118-D118)*24,2)/24,0)))</f>
        <v/>
      </c>
      <c r="J118" s="14" t="n"/>
      <c r="K118" s="15">
        <f>IF(OR(I118="",J118=""),"",IF(F118="Отменена",0,ROUND(I118*J118,2)))</f>
        <v/>
      </c>
      <c r="L118" s="15">
        <f>IF(K118="","",ROUND(K118*Настройки!$B$5,2))</f>
        <v/>
      </c>
      <c r="M118" s="15">
        <f>IF(A118="","",SUMIFS(Начисления!$M$2:$M$1000,Начисления!$F$2:$F$1000,A118))</f>
        <v/>
      </c>
      <c r="N118" s="15">
        <f>IF(A118="","",SUM(K118:M118))</f>
        <v/>
      </c>
      <c r="O118" s="14" t="n"/>
      <c r="P118" s="15">
        <f>IF(A118="","",N118-O118)</f>
        <v/>
      </c>
      <c r="Q118" s="10" t="n"/>
      <c r="R118" s="10" t="n"/>
      <c r="S118" s="16">
        <f>IF(ISNUMBER(D118),D118+TIME(3,0,0),"")</f>
        <v/>
      </c>
      <c r="T118" s="10" t="n"/>
      <c r="U118" s="17">
        <f>IF(OR(B118="",COUNT(D118:E118)&lt;2,E118&lt;D118,F118="Отменена"),0,MAX(0,MIN(E118,Сводка!$B$4)-MAX(D118,Сводка!$B$2)))</f>
        <v/>
      </c>
    </row>
    <row r="119">
      <c r="A119" s="9" t="n"/>
      <c r="B119" s="10" t="n"/>
      <c r="C119" s="10" t="n"/>
      <c r="D119" s="11" t="n"/>
      <c r="E119" s="11" t="n"/>
      <c r="F119" s="10" t="n"/>
      <c r="G119" s="12">
        <f>IF(B119="","",IF(OR(COUNT(D119:E119)&lt;2,E119&lt;D119),"Проверьте даты",IF(OR(F119="Отменена",F119="Возвращена"),"",IF(SUMPRODUCT(($B$2:$B$500=B119)*($D$2:$D$500&lt;=E119)*($E$2:$E$500&gt;=D119)*($F$2:$F$500&lt;&gt;"Отменена")*($F$2:$F$500&lt;&gt;"Возвращена"))&gt;1,"Пересечение","ОК"))))</f>
        <v/>
      </c>
      <c r="H119" s="12">
        <f>IF(OR(B119="",D119=""),"",IF(AND(OR(F119="Выдана",F119="Возвращена"),SUMPRODUCT(($B$2:$B$500=B119)*($D$2:$D$500=D119)*(($F$2:$F$500="Выдана")+($F$2:$F$500="Возвращена")))&gt;1),"Дубль",""))</f>
        <v/>
      </c>
      <c r="I119" s="13">
        <f>IF(OR(B119="",COUNT(D119:E119)&lt;2,E119&lt;D119),"",IF(Настройки!$B$6=Настройки!$M$3,INT(E119)-INT(D119)+1,ROUNDUP(ROUND((E119-D119)*24,2)/24,0)))</f>
        <v/>
      </c>
      <c r="J119" s="14" t="n"/>
      <c r="K119" s="15">
        <f>IF(OR(I119="",J119=""),"",IF(F119="Отменена",0,ROUND(I119*J119,2)))</f>
        <v/>
      </c>
      <c r="L119" s="15">
        <f>IF(K119="","",ROUND(K119*Настройки!$B$5,2))</f>
        <v/>
      </c>
      <c r="M119" s="15">
        <f>IF(A119="","",SUMIFS(Начисления!$M$2:$M$1000,Начисления!$F$2:$F$1000,A119))</f>
        <v/>
      </c>
      <c r="N119" s="15">
        <f>IF(A119="","",SUM(K119:M119))</f>
        <v/>
      </c>
      <c r="O119" s="14" t="n"/>
      <c r="P119" s="15">
        <f>IF(A119="","",N119-O119)</f>
        <v/>
      </c>
      <c r="Q119" s="10" t="n"/>
      <c r="R119" s="10" t="n"/>
      <c r="S119" s="16">
        <f>IF(ISNUMBER(D119),D119+TIME(3,0,0),"")</f>
        <v/>
      </c>
      <c r="T119" s="10" t="n"/>
      <c r="U119" s="17">
        <f>IF(OR(B119="",COUNT(D119:E119)&lt;2,E119&lt;D119,F119="Отменена"),0,MAX(0,MIN(E119,Сводка!$B$4)-MAX(D119,Сводка!$B$2)))</f>
        <v/>
      </c>
    </row>
    <row r="120">
      <c r="A120" s="9" t="n"/>
      <c r="B120" s="10" t="n"/>
      <c r="C120" s="10" t="n"/>
      <c r="D120" s="11" t="n"/>
      <c r="E120" s="11" t="n"/>
      <c r="F120" s="10" t="n"/>
      <c r="G120" s="12">
        <f>IF(B120="","",IF(OR(COUNT(D120:E120)&lt;2,E120&lt;D120),"Проверьте даты",IF(OR(F120="Отменена",F120="Возвращена"),"",IF(SUMPRODUCT(($B$2:$B$500=B120)*($D$2:$D$500&lt;=E120)*($E$2:$E$500&gt;=D120)*($F$2:$F$500&lt;&gt;"Отменена")*($F$2:$F$500&lt;&gt;"Возвращена"))&gt;1,"Пересечение","ОК"))))</f>
        <v/>
      </c>
      <c r="H120" s="12">
        <f>IF(OR(B120="",D120=""),"",IF(AND(OR(F120="Выдана",F120="Возвращена"),SUMPRODUCT(($B$2:$B$500=B120)*($D$2:$D$500=D120)*(($F$2:$F$500="Выдана")+($F$2:$F$500="Возвращена")))&gt;1),"Дубль",""))</f>
        <v/>
      </c>
      <c r="I120" s="13">
        <f>IF(OR(B120="",COUNT(D120:E120)&lt;2,E120&lt;D120),"",IF(Настройки!$B$6=Настройки!$M$3,INT(E120)-INT(D120)+1,ROUNDUP(ROUND((E120-D120)*24,2)/24,0)))</f>
        <v/>
      </c>
      <c r="J120" s="14" t="n"/>
      <c r="K120" s="15">
        <f>IF(OR(I120="",J120=""),"",IF(F120="Отменена",0,ROUND(I120*J120,2)))</f>
        <v/>
      </c>
      <c r="L120" s="15">
        <f>IF(K120="","",ROUND(K120*Настройки!$B$5,2))</f>
        <v/>
      </c>
      <c r="M120" s="15">
        <f>IF(A120="","",SUMIFS(Начисления!$M$2:$M$1000,Начисления!$F$2:$F$1000,A120))</f>
        <v/>
      </c>
      <c r="N120" s="15">
        <f>IF(A120="","",SUM(K120:M120))</f>
        <v/>
      </c>
      <c r="O120" s="14" t="n"/>
      <c r="P120" s="15">
        <f>IF(A120="","",N120-O120)</f>
        <v/>
      </c>
      <c r="Q120" s="10" t="n"/>
      <c r="R120" s="10" t="n"/>
      <c r="S120" s="16">
        <f>IF(ISNUMBER(D120),D120+TIME(3,0,0),"")</f>
        <v/>
      </c>
      <c r="T120" s="10" t="n"/>
      <c r="U120" s="17">
        <f>IF(OR(B120="",COUNT(D120:E120)&lt;2,E120&lt;D120,F120="Отменена"),0,MAX(0,MIN(E120,Сводка!$B$4)-MAX(D120,Сводка!$B$2)))</f>
        <v/>
      </c>
    </row>
    <row r="121">
      <c r="A121" s="9" t="n"/>
      <c r="B121" s="10" t="n"/>
      <c r="C121" s="10" t="n"/>
      <c r="D121" s="11" t="n"/>
      <c r="E121" s="11" t="n"/>
      <c r="F121" s="10" t="n"/>
      <c r="G121" s="12">
        <f>IF(B121="","",IF(OR(COUNT(D121:E121)&lt;2,E121&lt;D121),"Проверьте даты",IF(OR(F121="Отменена",F121="Возвращена"),"",IF(SUMPRODUCT(($B$2:$B$500=B121)*($D$2:$D$500&lt;=E121)*($E$2:$E$500&gt;=D121)*($F$2:$F$500&lt;&gt;"Отменена")*($F$2:$F$500&lt;&gt;"Возвращена"))&gt;1,"Пересечение","ОК"))))</f>
        <v/>
      </c>
      <c r="H121" s="12">
        <f>IF(OR(B121="",D121=""),"",IF(AND(OR(F121="Выдана",F121="Возвращена"),SUMPRODUCT(($B$2:$B$500=B121)*($D$2:$D$500=D121)*(($F$2:$F$500="Выдана")+($F$2:$F$500="Возвращена")))&gt;1),"Дубль",""))</f>
        <v/>
      </c>
      <c r="I121" s="13">
        <f>IF(OR(B121="",COUNT(D121:E121)&lt;2,E121&lt;D121),"",IF(Настройки!$B$6=Настройки!$M$3,INT(E121)-INT(D121)+1,ROUNDUP(ROUND((E121-D121)*24,2)/24,0)))</f>
        <v/>
      </c>
      <c r="J121" s="14" t="n"/>
      <c r="K121" s="15">
        <f>IF(OR(I121="",J121=""),"",IF(F121="Отменена",0,ROUND(I121*J121,2)))</f>
        <v/>
      </c>
      <c r="L121" s="15">
        <f>IF(K121="","",ROUND(K121*Настройки!$B$5,2))</f>
        <v/>
      </c>
      <c r="M121" s="15">
        <f>IF(A121="","",SUMIFS(Начисления!$M$2:$M$1000,Начисления!$F$2:$F$1000,A121))</f>
        <v/>
      </c>
      <c r="N121" s="15">
        <f>IF(A121="","",SUM(K121:M121))</f>
        <v/>
      </c>
      <c r="O121" s="14" t="n"/>
      <c r="P121" s="15">
        <f>IF(A121="","",N121-O121)</f>
        <v/>
      </c>
      <c r="Q121" s="10" t="n"/>
      <c r="R121" s="10" t="n"/>
      <c r="S121" s="16">
        <f>IF(ISNUMBER(D121),D121+TIME(3,0,0),"")</f>
        <v/>
      </c>
      <c r="T121" s="10" t="n"/>
      <c r="U121" s="17">
        <f>IF(OR(B121="",COUNT(D121:E121)&lt;2,E121&lt;D121,F121="Отменена"),0,MAX(0,MIN(E121,Сводка!$B$4)-MAX(D121,Сводка!$B$2)))</f>
        <v/>
      </c>
    </row>
    <row r="122">
      <c r="A122" s="9" t="n"/>
      <c r="B122" s="10" t="n"/>
      <c r="C122" s="10" t="n"/>
      <c r="D122" s="11" t="n"/>
      <c r="E122" s="11" t="n"/>
      <c r="F122" s="10" t="n"/>
      <c r="G122" s="12">
        <f>IF(B122="","",IF(OR(COUNT(D122:E122)&lt;2,E122&lt;D122),"Проверьте даты",IF(OR(F122="Отменена",F122="Возвращена"),"",IF(SUMPRODUCT(($B$2:$B$500=B122)*($D$2:$D$500&lt;=E122)*($E$2:$E$500&gt;=D122)*($F$2:$F$500&lt;&gt;"Отменена")*($F$2:$F$500&lt;&gt;"Возвращена"))&gt;1,"Пересечение","ОК"))))</f>
        <v/>
      </c>
      <c r="H122" s="12">
        <f>IF(OR(B122="",D122=""),"",IF(AND(OR(F122="Выдана",F122="Возвращена"),SUMPRODUCT(($B$2:$B$500=B122)*($D$2:$D$500=D122)*(($F$2:$F$500="Выдана")+($F$2:$F$500="Возвращена")))&gt;1),"Дубль",""))</f>
        <v/>
      </c>
      <c r="I122" s="13">
        <f>IF(OR(B122="",COUNT(D122:E122)&lt;2,E122&lt;D122),"",IF(Настройки!$B$6=Настройки!$M$3,INT(E122)-INT(D122)+1,ROUNDUP(ROUND((E122-D122)*24,2)/24,0)))</f>
        <v/>
      </c>
      <c r="J122" s="14" t="n"/>
      <c r="K122" s="15">
        <f>IF(OR(I122="",J122=""),"",IF(F122="Отменена",0,ROUND(I122*J122,2)))</f>
        <v/>
      </c>
      <c r="L122" s="15">
        <f>IF(K122="","",ROUND(K122*Настройки!$B$5,2))</f>
        <v/>
      </c>
      <c r="M122" s="15">
        <f>IF(A122="","",SUMIFS(Начисления!$M$2:$M$1000,Начисления!$F$2:$F$1000,A122))</f>
        <v/>
      </c>
      <c r="N122" s="15">
        <f>IF(A122="","",SUM(K122:M122))</f>
        <v/>
      </c>
      <c r="O122" s="14" t="n"/>
      <c r="P122" s="15">
        <f>IF(A122="","",N122-O122)</f>
        <v/>
      </c>
      <c r="Q122" s="10" t="n"/>
      <c r="R122" s="10" t="n"/>
      <c r="S122" s="16">
        <f>IF(ISNUMBER(D122),D122+TIME(3,0,0),"")</f>
        <v/>
      </c>
      <c r="T122" s="10" t="n"/>
      <c r="U122" s="17">
        <f>IF(OR(B122="",COUNT(D122:E122)&lt;2,E122&lt;D122,F122="Отменена"),0,MAX(0,MIN(E122,Сводка!$B$4)-MAX(D122,Сводка!$B$2)))</f>
        <v/>
      </c>
    </row>
    <row r="123">
      <c r="A123" s="9" t="n"/>
      <c r="B123" s="10" t="n"/>
      <c r="C123" s="10" t="n"/>
      <c r="D123" s="11" t="n"/>
      <c r="E123" s="11" t="n"/>
      <c r="F123" s="10" t="n"/>
      <c r="G123" s="12">
        <f>IF(B123="","",IF(OR(COUNT(D123:E123)&lt;2,E123&lt;D123),"Проверьте даты",IF(OR(F123="Отменена",F123="Возвращена"),"",IF(SUMPRODUCT(($B$2:$B$500=B123)*($D$2:$D$500&lt;=E123)*($E$2:$E$500&gt;=D123)*($F$2:$F$500&lt;&gt;"Отменена")*($F$2:$F$500&lt;&gt;"Возвращена"))&gt;1,"Пересечение","ОК"))))</f>
        <v/>
      </c>
      <c r="H123" s="12">
        <f>IF(OR(B123="",D123=""),"",IF(AND(OR(F123="Выдана",F123="Возвращена"),SUMPRODUCT(($B$2:$B$500=B123)*($D$2:$D$500=D123)*(($F$2:$F$500="Выдана")+($F$2:$F$500="Возвращена")))&gt;1),"Дубль",""))</f>
        <v/>
      </c>
      <c r="I123" s="13">
        <f>IF(OR(B123="",COUNT(D123:E123)&lt;2,E123&lt;D123),"",IF(Настройки!$B$6=Настройки!$M$3,INT(E123)-INT(D123)+1,ROUNDUP(ROUND((E123-D123)*24,2)/24,0)))</f>
        <v/>
      </c>
      <c r="J123" s="14" t="n"/>
      <c r="K123" s="15">
        <f>IF(OR(I123="",J123=""),"",IF(F123="Отменена",0,ROUND(I123*J123,2)))</f>
        <v/>
      </c>
      <c r="L123" s="15">
        <f>IF(K123="","",ROUND(K123*Настройки!$B$5,2))</f>
        <v/>
      </c>
      <c r="M123" s="15">
        <f>IF(A123="","",SUMIFS(Начисления!$M$2:$M$1000,Начисления!$F$2:$F$1000,A123))</f>
        <v/>
      </c>
      <c r="N123" s="15">
        <f>IF(A123="","",SUM(K123:M123))</f>
        <v/>
      </c>
      <c r="O123" s="14" t="n"/>
      <c r="P123" s="15">
        <f>IF(A123="","",N123-O123)</f>
        <v/>
      </c>
      <c r="Q123" s="10" t="n"/>
      <c r="R123" s="10" t="n"/>
      <c r="S123" s="16">
        <f>IF(ISNUMBER(D123),D123+TIME(3,0,0),"")</f>
        <v/>
      </c>
      <c r="T123" s="10" t="n"/>
      <c r="U123" s="17">
        <f>IF(OR(B123="",COUNT(D123:E123)&lt;2,E123&lt;D123,F123="Отменена"),0,MAX(0,MIN(E123,Сводка!$B$4)-MAX(D123,Сводка!$B$2)))</f>
        <v/>
      </c>
    </row>
    <row r="124">
      <c r="A124" s="9" t="n"/>
      <c r="B124" s="10" t="n"/>
      <c r="C124" s="10" t="n"/>
      <c r="D124" s="11" t="n"/>
      <c r="E124" s="11" t="n"/>
      <c r="F124" s="10" t="n"/>
      <c r="G124" s="12">
        <f>IF(B124="","",IF(OR(COUNT(D124:E124)&lt;2,E124&lt;D124),"Проверьте даты",IF(OR(F124="Отменена",F124="Возвращена"),"",IF(SUMPRODUCT(($B$2:$B$500=B124)*($D$2:$D$500&lt;=E124)*($E$2:$E$500&gt;=D124)*($F$2:$F$500&lt;&gt;"Отменена")*($F$2:$F$500&lt;&gt;"Возвращена"))&gt;1,"Пересечение","ОК"))))</f>
        <v/>
      </c>
      <c r="H124" s="12">
        <f>IF(OR(B124="",D124=""),"",IF(AND(OR(F124="Выдана",F124="Возвращена"),SUMPRODUCT(($B$2:$B$500=B124)*($D$2:$D$500=D124)*(($F$2:$F$500="Выдана")+($F$2:$F$500="Возвращена")))&gt;1),"Дубль",""))</f>
        <v/>
      </c>
      <c r="I124" s="13">
        <f>IF(OR(B124="",COUNT(D124:E124)&lt;2,E124&lt;D124),"",IF(Настройки!$B$6=Настройки!$M$3,INT(E124)-INT(D124)+1,ROUNDUP(ROUND((E124-D124)*24,2)/24,0)))</f>
        <v/>
      </c>
      <c r="J124" s="14" t="n"/>
      <c r="K124" s="15">
        <f>IF(OR(I124="",J124=""),"",IF(F124="Отменена",0,ROUND(I124*J124,2)))</f>
        <v/>
      </c>
      <c r="L124" s="15">
        <f>IF(K124="","",ROUND(K124*Настройки!$B$5,2))</f>
        <v/>
      </c>
      <c r="M124" s="15">
        <f>IF(A124="","",SUMIFS(Начисления!$M$2:$M$1000,Начисления!$F$2:$F$1000,A124))</f>
        <v/>
      </c>
      <c r="N124" s="15">
        <f>IF(A124="","",SUM(K124:M124))</f>
        <v/>
      </c>
      <c r="O124" s="14" t="n"/>
      <c r="P124" s="15">
        <f>IF(A124="","",N124-O124)</f>
        <v/>
      </c>
      <c r="Q124" s="10" t="n"/>
      <c r="R124" s="10" t="n"/>
      <c r="S124" s="16">
        <f>IF(ISNUMBER(D124),D124+TIME(3,0,0),"")</f>
        <v/>
      </c>
      <c r="T124" s="10" t="n"/>
      <c r="U124" s="17">
        <f>IF(OR(B124="",COUNT(D124:E124)&lt;2,E124&lt;D124,F124="Отменена"),0,MAX(0,MIN(E124,Сводка!$B$4)-MAX(D124,Сводка!$B$2)))</f>
        <v/>
      </c>
    </row>
    <row r="125">
      <c r="A125" s="9" t="n"/>
      <c r="B125" s="10" t="n"/>
      <c r="C125" s="10" t="n"/>
      <c r="D125" s="11" t="n"/>
      <c r="E125" s="11" t="n"/>
      <c r="F125" s="10" t="n"/>
      <c r="G125" s="12">
        <f>IF(B125="","",IF(OR(COUNT(D125:E125)&lt;2,E125&lt;D125),"Проверьте даты",IF(OR(F125="Отменена",F125="Возвращена"),"",IF(SUMPRODUCT(($B$2:$B$500=B125)*($D$2:$D$500&lt;=E125)*($E$2:$E$500&gt;=D125)*($F$2:$F$500&lt;&gt;"Отменена")*($F$2:$F$500&lt;&gt;"Возвращена"))&gt;1,"Пересечение","ОК"))))</f>
        <v/>
      </c>
      <c r="H125" s="12">
        <f>IF(OR(B125="",D125=""),"",IF(AND(OR(F125="Выдана",F125="Возвращена"),SUMPRODUCT(($B$2:$B$500=B125)*($D$2:$D$500=D125)*(($F$2:$F$500="Выдана")+($F$2:$F$500="Возвращена")))&gt;1),"Дубль",""))</f>
        <v/>
      </c>
      <c r="I125" s="13">
        <f>IF(OR(B125="",COUNT(D125:E125)&lt;2,E125&lt;D125),"",IF(Настройки!$B$6=Настройки!$M$3,INT(E125)-INT(D125)+1,ROUNDUP(ROUND((E125-D125)*24,2)/24,0)))</f>
        <v/>
      </c>
      <c r="J125" s="14" t="n"/>
      <c r="K125" s="15">
        <f>IF(OR(I125="",J125=""),"",IF(F125="Отменена",0,ROUND(I125*J125,2)))</f>
        <v/>
      </c>
      <c r="L125" s="15">
        <f>IF(K125="","",ROUND(K125*Настройки!$B$5,2))</f>
        <v/>
      </c>
      <c r="M125" s="15">
        <f>IF(A125="","",SUMIFS(Начисления!$M$2:$M$1000,Начисления!$F$2:$F$1000,A125))</f>
        <v/>
      </c>
      <c r="N125" s="15">
        <f>IF(A125="","",SUM(K125:M125))</f>
        <v/>
      </c>
      <c r="O125" s="14" t="n"/>
      <c r="P125" s="15">
        <f>IF(A125="","",N125-O125)</f>
        <v/>
      </c>
      <c r="Q125" s="10" t="n"/>
      <c r="R125" s="10" t="n"/>
      <c r="S125" s="16">
        <f>IF(ISNUMBER(D125),D125+TIME(3,0,0),"")</f>
        <v/>
      </c>
      <c r="T125" s="10" t="n"/>
      <c r="U125" s="17">
        <f>IF(OR(B125="",COUNT(D125:E125)&lt;2,E125&lt;D125,F125="Отменена"),0,MAX(0,MIN(E125,Сводка!$B$4)-MAX(D125,Сводка!$B$2)))</f>
        <v/>
      </c>
    </row>
    <row r="126">
      <c r="A126" s="9" t="n"/>
      <c r="B126" s="10" t="n"/>
      <c r="C126" s="10" t="n"/>
      <c r="D126" s="11" t="n"/>
      <c r="E126" s="11" t="n"/>
      <c r="F126" s="10" t="n"/>
      <c r="G126" s="12">
        <f>IF(B126="","",IF(OR(COUNT(D126:E126)&lt;2,E126&lt;D126),"Проверьте даты",IF(OR(F126="Отменена",F126="Возвращена"),"",IF(SUMPRODUCT(($B$2:$B$500=B126)*($D$2:$D$500&lt;=E126)*($E$2:$E$500&gt;=D126)*($F$2:$F$500&lt;&gt;"Отменена")*($F$2:$F$500&lt;&gt;"Возвращена"))&gt;1,"Пересечение","ОК"))))</f>
        <v/>
      </c>
      <c r="H126" s="12">
        <f>IF(OR(B126="",D126=""),"",IF(AND(OR(F126="Выдана",F126="Возвращена"),SUMPRODUCT(($B$2:$B$500=B126)*($D$2:$D$500=D126)*(($F$2:$F$500="Выдана")+($F$2:$F$500="Возвращена")))&gt;1),"Дубль",""))</f>
        <v/>
      </c>
      <c r="I126" s="13">
        <f>IF(OR(B126="",COUNT(D126:E126)&lt;2,E126&lt;D126),"",IF(Настройки!$B$6=Настройки!$M$3,INT(E126)-INT(D126)+1,ROUNDUP(ROUND((E126-D126)*24,2)/24,0)))</f>
        <v/>
      </c>
      <c r="J126" s="14" t="n"/>
      <c r="K126" s="15">
        <f>IF(OR(I126="",J126=""),"",IF(F126="Отменена",0,ROUND(I126*J126,2)))</f>
        <v/>
      </c>
      <c r="L126" s="15">
        <f>IF(K126="","",ROUND(K126*Настройки!$B$5,2))</f>
        <v/>
      </c>
      <c r="M126" s="15">
        <f>IF(A126="","",SUMIFS(Начисления!$M$2:$M$1000,Начисления!$F$2:$F$1000,A126))</f>
        <v/>
      </c>
      <c r="N126" s="15">
        <f>IF(A126="","",SUM(K126:M126))</f>
        <v/>
      </c>
      <c r="O126" s="14" t="n"/>
      <c r="P126" s="15">
        <f>IF(A126="","",N126-O126)</f>
        <v/>
      </c>
      <c r="Q126" s="10" t="n"/>
      <c r="R126" s="10" t="n"/>
      <c r="S126" s="16">
        <f>IF(ISNUMBER(D126),D126+TIME(3,0,0),"")</f>
        <v/>
      </c>
      <c r="T126" s="10" t="n"/>
      <c r="U126" s="17">
        <f>IF(OR(B126="",COUNT(D126:E126)&lt;2,E126&lt;D126,F126="Отменена"),0,MAX(0,MIN(E126,Сводка!$B$4)-MAX(D126,Сводка!$B$2)))</f>
        <v/>
      </c>
    </row>
    <row r="127">
      <c r="A127" s="9" t="n"/>
      <c r="B127" s="10" t="n"/>
      <c r="C127" s="10" t="n"/>
      <c r="D127" s="11" t="n"/>
      <c r="E127" s="11" t="n"/>
      <c r="F127" s="10" t="n"/>
      <c r="G127" s="12">
        <f>IF(B127="","",IF(OR(COUNT(D127:E127)&lt;2,E127&lt;D127),"Проверьте даты",IF(OR(F127="Отменена",F127="Возвращена"),"",IF(SUMPRODUCT(($B$2:$B$500=B127)*($D$2:$D$500&lt;=E127)*($E$2:$E$500&gt;=D127)*($F$2:$F$500&lt;&gt;"Отменена")*($F$2:$F$500&lt;&gt;"Возвращена"))&gt;1,"Пересечение","ОК"))))</f>
        <v/>
      </c>
      <c r="H127" s="12">
        <f>IF(OR(B127="",D127=""),"",IF(AND(OR(F127="Выдана",F127="Возвращена"),SUMPRODUCT(($B$2:$B$500=B127)*($D$2:$D$500=D127)*(($F$2:$F$500="Выдана")+($F$2:$F$500="Возвращена")))&gt;1),"Дубль",""))</f>
        <v/>
      </c>
      <c r="I127" s="13">
        <f>IF(OR(B127="",COUNT(D127:E127)&lt;2,E127&lt;D127),"",IF(Настройки!$B$6=Настройки!$M$3,INT(E127)-INT(D127)+1,ROUNDUP(ROUND((E127-D127)*24,2)/24,0)))</f>
        <v/>
      </c>
      <c r="J127" s="14" t="n"/>
      <c r="K127" s="15">
        <f>IF(OR(I127="",J127=""),"",IF(F127="Отменена",0,ROUND(I127*J127,2)))</f>
        <v/>
      </c>
      <c r="L127" s="15">
        <f>IF(K127="","",ROUND(K127*Настройки!$B$5,2))</f>
        <v/>
      </c>
      <c r="M127" s="15">
        <f>IF(A127="","",SUMIFS(Начисления!$M$2:$M$1000,Начисления!$F$2:$F$1000,A127))</f>
        <v/>
      </c>
      <c r="N127" s="15">
        <f>IF(A127="","",SUM(K127:M127))</f>
        <v/>
      </c>
      <c r="O127" s="14" t="n"/>
      <c r="P127" s="15">
        <f>IF(A127="","",N127-O127)</f>
        <v/>
      </c>
      <c r="Q127" s="10" t="n"/>
      <c r="R127" s="10" t="n"/>
      <c r="S127" s="16">
        <f>IF(ISNUMBER(D127),D127+TIME(3,0,0),"")</f>
        <v/>
      </c>
      <c r="T127" s="10" t="n"/>
      <c r="U127" s="17">
        <f>IF(OR(B127="",COUNT(D127:E127)&lt;2,E127&lt;D127,F127="Отменена"),0,MAX(0,MIN(E127,Сводка!$B$4)-MAX(D127,Сводка!$B$2)))</f>
        <v/>
      </c>
    </row>
    <row r="128">
      <c r="A128" s="9" t="n"/>
      <c r="B128" s="10" t="n"/>
      <c r="C128" s="10" t="n"/>
      <c r="D128" s="11" t="n"/>
      <c r="E128" s="11" t="n"/>
      <c r="F128" s="10" t="n"/>
      <c r="G128" s="12">
        <f>IF(B128="","",IF(OR(COUNT(D128:E128)&lt;2,E128&lt;D128),"Проверьте даты",IF(OR(F128="Отменена",F128="Возвращена"),"",IF(SUMPRODUCT(($B$2:$B$500=B128)*($D$2:$D$500&lt;=E128)*($E$2:$E$500&gt;=D128)*($F$2:$F$500&lt;&gt;"Отменена")*($F$2:$F$500&lt;&gt;"Возвращена"))&gt;1,"Пересечение","ОК"))))</f>
        <v/>
      </c>
      <c r="H128" s="12">
        <f>IF(OR(B128="",D128=""),"",IF(AND(OR(F128="Выдана",F128="Возвращена"),SUMPRODUCT(($B$2:$B$500=B128)*($D$2:$D$500=D128)*(($F$2:$F$500="Выдана")+($F$2:$F$500="Возвращена")))&gt;1),"Дубль",""))</f>
        <v/>
      </c>
      <c r="I128" s="13">
        <f>IF(OR(B128="",COUNT(D128:E128)&lt;2,E128&lt;D128),"",IF(Настройки!$B$6=Настройки!$M$3,INT(E128)-INT(D128)+1,ROUNDUP(ROUND((E128-D128)*24,2)/24,0)))</f>
        <v/>
      </c>
      <c r="J128" s="14" t="n"/>
      <c r="K128" s="15">
        <f>IF(OR(I128="",J128=""),"",IF(F128="Отменена",0,ROUND(I128*J128,2)))</f>
        <v/>
      </c>
      <c r="L128" s="15">
        <f>IF(K128="","",ROUND(K128*Настройки!$B$5,2))</f>
        <v/>
      </c>
      <c r="M128" s="15">
        <f>IF(A128="","",SUMIFS(Начисления!$M$2:$M$1000,Начисления!$F$2:$F$1000,A128))</f>
        <v/>
      </c>
      <c r="N128" s="15">
        <f>IF(A128="","",SUM(K128:M128))</f>
        <v/>
      </c>
      <c r="O128" s="14" t="n"/>
      <c r="P128" s="15">
        <f>IF(A128="","",N128-O128)</f>
        <v/>
      </c>
      <c r="Q128" s="10" t="n"/>
      <c r="R128" s="10" t="n"/>
      <c r="S128" s="16">
        <f>IF(ISNUMBER(D128),D128+TIME(3,0,0),"")</f>
        <v/>
      </c>
      <c r="T128" s="10" t="n"/>
      <c r="U128" s="17">
        <f>IF(OR(B128="",COUNT(D128:E128)&lt;2,E128&lt;D128,F128="Отменена"),0,MAX(0,MIN(E128,Сводка!$B$4)-MAX(D128,Сводка!$B$2)))</f>
        <v/>
      </c>
    </row>
    <row r="129">
      <c r="A129" s="9" t="n"/>
      <c r="B129" s="10" t="n"/>
      <c r="C129" s="10" t="n"/>
      <c r="D129" s="11" t="n"/>
      <c r="E129" s="11" t="n"/>
      <c r="F129" s="10" t="n"/>
      <c r="G129" s="12">
        <f>IF(B129="","",IF(OR(COUNT(D129:E129)&lt;2,E129&lt;D129),"Проверьте даты",IF(OR(F129="Отменена",F129="Возвращена"),"",IF(SUMPRODUCT(($B$2:$B$500=B129)*($D$2:$D$500&lt;=E129)*($E$2:$E$500&gt;=D129)*($F$2:$F$500&lt;&gt;"Отменена")*($F$2:$F$500&lt;&gt;"Возвращена"))&gt;1,"Пересечение","ОК"))))</f>
        <v/>
      </c>
      <c r="H129" s="12">
        <f>IF(OR(B129="",D129=""),"",IF(AND(OR(F129="Выдана",F129="Возвращена"),SUMPRODUCT(($B$2:$B$500=B129)*($D$2:$D$500=D129)*(($F$2:$F$500="Выдана")+($F$2:$F$500="Возвращена")))&gt;1),"Дубль",""))</f>
        <v/>
      </c>
      <c r="I129" s="13">
        <f>IF(OR(B129="",COUNT(D129:E129)&lt;2,E129&lt;D129),"",IF(Настройки!$B$6=Настройки!$M$3,INT(E129)-INT(D129)+1,ROUNDUP(ROUND((E129-D129)*24,2)/24,0)))</f>
        <v/>
      </c>
      <c r="J129" s="14" t="n"/>
      <c r="K129" s="15">
        <f>IF(OR(I129="",J129=""),"",IF(F129="Отменена",0,ROUND(I129*J129,2)))</f>
        <v/>
      </c>
      <c r="L129" s="15">
        <f>IF(K129="","",ROUND(K129*Настройки!$B$5,2))</f>
        <v/>
      </c>
      <c r="M129" s="15">
        <f>IF(A129="","",SUMIFS(Начисления!$M$2:$M$1000,Начисления!$F$2:$F$1000,A129))</f>
        <v/>
      </c>
      <c r="N129" s="15">
        <f>IF(A129="","",SUM(K129:M129))</f>
        <v/>
      </c>
      <c r="O129" s="14" t="n"/>
      <c r="P129" s="15">
        <f>IF(A129="","",N129-O129)</f>
        <v/>
      </c>
      <c r="Q129" s="10" t="n"/>
      <c r="R129" s="10" t="n"/>
      <c r="S129" s="16">
        <f>IF(ISNUMBER(D129),D129+TIME(3,0,0),"")</f>
        <v/>
      </c>
      <c r="T129" s="10" t="n"/>
      <c r="U129" s="17">
        <f>IF(OR(B129="",COUNT(D129:E129)&lt;2,E129&lt;D129,F129="Отменена"),0,MAX(0,MIN(E129,Сводка!$B$4)-MAX(D129,Сводка!$B$2)))</f>
        <v/>
      </c>
    </row>
    <row r="130">
      <c r="A130" s="9" t="n"/>
      <c r="B130" s="10" t="n"/>
      <c r="C130" s="10" t="n"/>
      <c r="D130" s="11" t="n"/>
      <c r="E130" s="11" t="n"/>
      <c r="F130" s="10" t="n"/>
      <c r="G130" s="12">
        <f>IF(B130="","",IF(OR(COUNT(D130:E130)&lt;2,E130&lt;D130),"Проверьте даты",IF(OR(F130="Отменена",F130="Возвращена"),"",IF(SUMPRODUCT(($B$2:$B$500=B130)*($D$2:$D$500&lt;=E130)*($E$2:$E$500&gt;=D130)*($F$2:$F$500&lt;&gt;"Отменена")*($F$2:$F$500&lt;&gt;"Возвращена"))&gt;1,"Пересечение","ОК"))))</f>
        <v/>
      </c>
      <c r="H130" s="12">
        <f>IF(OR(B130="",D130=""),"",IF(AND(OR(F130="Выдана",F130="Возвращена"),SUMPRODUCT(($B$2:$B$500=B130)*($D$2:$D$500=D130)*(($F$2:$F$500="Выдана")+($F$2:$F$500="Возвращена")))&gt;1),"Дубль",""))</f>
        <v/>
      </c>
      <c r="I130" s="13">
        <f>IF(OR(B130="",COUNT(D130:E130)&lt;2,E130&lt;D130),"",IF(Настройки!$B$6=Настройки!$M$3,INT(E130)-INT(D130)+1,ROUNDUP(ROUND((E130-D130)*24,2)/24,0)))</f>
        <v/>
      </c>
      <c r="J130" s="14" t="n"/>
      <c r="K130" s="15">
        <f>IF(OR(I130="",J130=""),"",IF(F130="Отменена",0,ROUND(I130*J130,2)))</f>
        <v/>
      </c>
      <c r="L130" s="15">
        <f>IF(K130="","",ROUND(K130*Настройки!$B$5,2))</f>
        <v/>
      </c>
      <c r="M130" s="15">
        <f>IF(A130="","",SUMIFS(Начисления!$M$2:$M$1000,Начисления!$F$2:$F$1000,A130))</f>
        <v/>
      </c>
      <c r="N130" s="15">
        <f>IF(A130="","",SUM(K130:M130))</f>
        <v/>
      </c>
      <c r="O130" s="14" t="n"/>
      <c r="P130" s="15">
        <f>IF(A130="","",N130-O130)</f>
        <v/>
      </c>
      <c r="Q130" s="10" t="n"/>
      <c r="R130" s="10" t="n"/>
      <c r="S130" s="16">
        <f>IF(ISNUMBER(D130),D130+TIME(3,0,0),"")</f>
        <v/>
      </c>
      <c r="T130" s="10" t="n"/>
      <c r="U130" s="17">
        <f>IF(OR(B130="",COUNT(D130:E130)&lt;2,E130&lt;D130,F130="Отменена"),0,MAX(0,MIN(E130,Сводка!$B$4)-MAX(D130,Сводка!$B$2)))</f>
        <v/>
      </c>
    </row>
    <row r="131">
      <c r="A131" s="9" t="n"/>
      <c r="B131" s="10" t="n"/>
      <c r="C131" s="10" t="n"/>
      <c r="D131" s="11" t="n"/>
      <c r="E131" s="11" t="n"/>
      <c r="F131" s="10" t="n"/>
      <c r="G131" s="12">
        <f>IF(B131="","",IF(OR(COUNT(D131:E131)&lt;2,E131&lt;D131),"Проверьте даты",IF(OR(F131="Отменена",F131="Возвращена"),"",IF(SUMPRODUCT(($B$2:$B$500=B131)*($D$2:$D$500&lt;=E131)*($E$2:$E$500&gt;=D131)*($F$2:$F$500&lt;&gt;"Отменена")*($F$2:$F$500&lt;&gt;"Возвращена"))&gt;1,"Пересечение","ОК"))))</f>
        <v/>
      </c>
      <c r="H131" s="12">
        <f>IF(OR(B131="",D131=""),"",IF(AND(OR(F131="Выдана",F131="Возвращена"),SUMPRODUCT(($B$2:$B$500=B131)*($D$2:$D$500=D131)*(($F$2:$F$500="Выдана")+($F$2:$F$500="Возвращена")))&gt;1),"Дубль",""))</f>
        <v/>
      </c>
      <c r="I131" s="13">
        <f>IF(OR(B131="",COUNT(D131:E131)&lt;2,E131&lt;D131),"",IF(Настройки!$B$6=Настройки!$M$3,INT(E131)-INT(D131)+1,ROUNDUP(ROUND((E131-D131)*24,2)/24,0)))</f>
        <v/>
      </c>
      <c r="J131" s="14" t="n"/>
      <c r="K131" s="15">
        <f>IF(OR(I131="",J131=""),"",IF(F131="Отменена",0,ROUND(I131*J131,2)))</f>
        <v/>
      </c>
      <c r="L131" s="15">
        <f>IF(K131="","",ROUND(K131*Настройки!$B$5,2))</f>
        <v/>
      </c>
      <c r="M131" s="15">
        <f>IF(A131="","",SUMIFS(Начисления!$M$2:$M$1000,Начисления!$F$2:$F$1000,A131))</f>
        <v/>
      </c>
      <c r="N131" s="15">
        <f>IF(A131="","",SUM(K131:M131))</f>
        <v/>
      </c>
      <c r="O131" s="14" t="n"/>
      <c r="P131" s="15">
        <f>IF(A131="","",N131-O131)</f>
        <v/>
      </c>
      <c r="Q131" s="10" t="n"/>
      <c r="R131" s="10" t="n"/>
      <c r="S131" s="16">
        <f>IF(ISNUMBER(D131),D131+TIME(3,0,0),"")</f>
        <v/>
      </c>
      <c r="T131" s="10" t="n"/>
      <c r="U131" s="17">
        <f>IF(OR(B131="",COUNT(D131:E131)&lt;2,E131&lt;D131,F131="Отменена"),0,MAX(0,MIN(E131,Сводка!$B$4)-MAX(D131,Сводка!$B$2)))</f>
        <v/>
      </c>
    </row>
    <row r="132">
      <c r="A132" s="9" t="n"/>
      <c r="B132" s="10" t="n"/>
      <c r="C132" s="10" t="n"/>
      <c r="D132" s="11" t="n"/>
      <c r="E132" s="11" t="n"/>
      <c r="F132" s="10" t="n"/>
      <c r="G132" s="12">
        <f>IF(B132="","",IF(OR(COUNT(D132:E132)&lt;2,E132&lt;D132),"Проверьте даты",IF(OR(F132="Отменена",F132="Возвращена"),"",IF(SUMPRODUCT(($B$2:$B$500=B132)*($D$2:$D$500&lt;=E132)*($E$2:$E$500&gt;=D132)*($F$2:$F$500&lt;&gt;"Отменена")*($F$2:$F$500&lt;&gt;"Возвращена"))&gt;1,"Пересечение","ОК"))))</f>
        <v/>
      </c>
      <c r="H132" s="12">
        <f>IF(OR(B132="",D132=""),"",IF(AND(OR(F132="Выдана",F132="Возвращена"),SUMPRODUCT(($B$2:$B$500=B132)*($D$2:$D$500=D132)*(($F$2:$F$500="Выдана")+($F$2:$F$500="Возвращена")))&gt;1),"Дубль",""))</f>
        <v/>
      </c>
      <c r="I132" s="13">
        <f>IF(OR(B132="",COUNT(D132:E132)&lt;2,E132&lt;D132),"",IF(Настройки!$B$6=Настройки!$M$3,INT(E132)-INT(D132)+1,ROUNDUP(ROUND((E132-D132)*24,2)/24,0)))</f>
        <v/>
      </c>
      <c r="J132" s="14" t="n"/>
      <c r="K132" s="15">
        <f>IF(OR(I132="",J132=""),"",IF(F132="Отменена",0,ROUND(I132*J132,2)))</f>
        <v/>
      </c>
      <c r="L132" s="15">
        <f>IF(K132="","",ROUND(K132*Настройки!$B$5,2))</f>
        <v/>
      </c>
      <c r="M132" s="15">
        <f>IF(A132="","",SUMIFS(Начисления!$M$2:$M$1000,Начисления!$F$2:$F$1000,A132))</f>
        <v/>
      </c>
      <c r="N132" s="15">
        <f>IF(A132="","",SUM(K132:M132))</f>
        <v/>
      </c>
      <c r="O132" s="14" t="n"/>
      <c r="P132" s="15">
        <f>IF(A132="","",N132-O132)</f>
        <v/>
      </c>
      <c r="Q132" s="10" t="n"/>
      <c r="R132" s="10" t="n"/>
      <c r="S132" s="16">
        <f>IF(ISNUMBER(D132),D132+TIME(3,0,0),"")</f>
        <v/>
      </c>
      <c r="T132" s="10" t="n"/>
      <c r="U132" s="17">
        <f>IF(OR(B132="",COUNT(D132:E132)&lt;2,E132&lt;D132,F132="Отменена"),0,MAX(0,MIN(E132,Сводка!$B$4)-MAX(D132,Сводка!$B$2)))</f>
        <v/>
      </c>
    </row>
    <row r="133">
      <c r="A133" s="9" t="n"/>
      <c r="B133" s="10" t="n"/>
      <c r="C133" s="10" t="n"/>
      <c r="D133" s="11" t="n"/>
      <c r="E133" s="11" t="n"/>
      <c r="F133" s="10" t="n"/>
      <c r="G133" s="12">
        <f>IF(B133="","",IF(OR(COUNT(D133:E133)&lt;2,E133&lt;D133),"Проверьте даты",IF(OR(F133="Отменена",F133="Возвращена"),"",IF(SUMPRODUCT(($B$2:$B$500=B133)*($D$2:$D$500&lt;=E133)*($E$2:$E$500&gt;=D133)*($F$2:$F$500&lt;&gt;"Отменена")*($F$2:$F$500&lt;&gt;"Возвращена"))&gt;1,"Пересечение","ОК"))))</f>
        <v/>
      </c>
      <c r="H133" s="12">
        <f>IF(OR(B133="",D133=""),"",IF(AND(OR(F133="Выдана",F133="Возвращена"),SUMPRODUCT(($B$2:$B$500=B133)*($D$2:$D$500=D133)*(($F$2:$F$500="Выдана")+($F$2:$F$500="Возвращена")))&gt;1),"Дубль",""))</f>
        <v/>
      </c>
      <c r="I133" s="13">
        <f>IF(OR(B133="",COUNT(D133:E133)&lt;2,E133&lt;D133),"",IF(Настройки!$B$6=Настройки!$M$3,INT(E133)-INT(D133)+1,ROUNDUP(ROUND((E133-D133)*24,2)/24,0)))</f>
        <v/>
      </c>
      <c r="J133" s="14" t="n"/>
      <c r="K133" s="15">
        <f>IF(OR(I133="",J133=""),"",IF(F133="Отменена",0,ROUND(I133*J133,2)))</f>
        <v/>
      </c>
      <c r="L133" s="15">
        <f>IF(K133="","",ROUND(K133*Настройки!$B$5,2))</f>
        <v/>
      </c>
      <c r="M133" s="15">
        <f>IF(A133="","",SUMIFS(Начисления!$M$2:$M$1000,Начисления!$F$2:$F$1000,A133))</f>
        <v/>
      </c>
      <c r="N133" s="15">
        <f>IF(A133="","",SUM(K133:M133))</f>
        <v/>
      </c>
      <c r="O133" s="14" t="n"/>
      <c r="P133" s="15">
        <f>IF(A133="","",N133-O133)</f>
        <v/>
      </c>
      <c r="Q133" s="10" t="n"/>
      <c r="R133" s="10" t="n"/>
      <c r="S133" s="16">
        <f>IF(ISNUMBER(D133),D133+TIME(3,0,0),"")</f>
        <v/>
      </c>
      <c r="T133" s="10" t="n"/>
      <c r="U133" s="17">
        <f>IF(OR(B133="",COUNT(D133:E133)&lt;2,E133&lt;D133,F133="Отменена"),0,MAX(0,MIN(E133,Сводка!$B$4)-MAX(D133,Сводка!$B$2)))</f>
        <v/>
      </c>
    </row>
    <row r="134">
      <c r="A134" s="9" t="n"/>
      <c r="B134" s="10" t="n"/>
      <c r="C134" s="10" t="n"/>
      <c r="D134" s="11" t="n"/>
      <c r="E134" s="11" t="n"/>
      <c r="F134" s="10" t="n"/>
      <c r="G134" s="12">
        <f>IF(B134="","",IF(OR(COUNT(D134:E134)&lt;2,E134&lt;D134),"Проверьте даты",IF(OR(F134="Отменена",F134="Возвращена"),"",IF(SUMPRODUCT(($B$2:$B$500=B134)*($D$2:$D$500&lt;=E134)*($E$2:$E$500&gt;=D134)*($F$2:$F$500&lt;&gt;"Отменена")*($F$2:$F$500&lt;&gt;"Возвращена"))&gt;1,"Пересечение","ОК"))))</f>
        <v/>
      </c>
      <c r="H134" s="12">
        <f>IF(OR(B134="",D134=""),"",IF(AND(OR(F134="Выдана",F134="Возвращена"),SUMPRODUCT(($B$2:$B$500=B134)*($D$2:$D$500=D134)*(($F$2:$F$500="Выдана")+($F$2:$F$500="Возвращена")))&gt;1),"Дубль",""))</f>
        <v/>
      </c>
      <c r="I134" s="13">
        <f>IF(OR(B134="",COUNT(D134:E134)&lt;2,E134&lt;D134),"",IF(Настройки!$B$6=Настройки!$M$3,INT(E134)-INT(D134)+1,ROUNDUP(ROUND((E134-D134)*24,2)/24,0)))</f>
        <v/>
      </c>
      <c r="J134" s="14" t="n"/>
      <c r="K134" s="15">
        <f>IF(OR(I134="",J134=""),"",IF(F134="Отменена",0,ROUND(I134*J134,2)))</f>
        <v/>
      </c>
      <c r="L134" s="15">
        <f>IF(K134="","",ROUND(K134*Настройки!$B$5,2))</f>
        <v/>
      </c>
      <c r="M134" s="15">
        <f>IF(A134="","",SUMIFS(Начисления!$M$2:$M$1000,Начисления!$F$2:$F$1000,A134))</f>
        <v/>
      </c>
      <c r="N134" s="15">
        <f>IF(A134="","",SUM(K134:M134))</f>
        <v/>
      </c>
      <c r="O134" s="14" t="n"/>
      <c r="P134" s="15">
        <f>IF(A134="","",N134-O134)</f>
        <v/>
      </c>
      <c r="Q134" s="10" t="n"/>
      <c r="R134" s="10" t="n"/>
      <c r="S134" s="16">
        <f>IF(ISNUMBER(D134),D134+TIME(3,0,0),"")</f>
        <v/>
      </c>
      <c r="T134" s="10" t="n"/>
      <c r="U134" s="17">
        <f>IF(OR(B134="",COUNT(D134:E134)&lt;2,E134&lt;D134,F134="Отменена"),0,MAX(0,MIN(E134,Сводка!$B$4)-MAX(D134,Сводка!$B$2)))</f>
        <v/>
      </c>
    </row>
    <row r="135">
      <c r="A135" s="9" t="n"/>
      <c r="B135" s="10" t="n"/>
      <c r="C135" s="10" t="n"/>
      <c r="D135" s="11" t="n"/>
      <c r="E135" s="11" t="n"/>
      <c r="F135" s="10" t="n"/>
      <c r="G135" s="12">
        <f>IF(B135="","",IF(OR(COUNT(D135:E135)&lt;2,E135&lt;D135),"Проверьте даты",IF(OR(F135="Отменена",F135="Возвращена"),"",IF(SUMPRODUCT(($B$2:$B$500=B135)*($D$2:$D$500&lt;=E135)*($E$2:$E$500&gt;=D135)*($F$2:$F$500&lt;&gt;"Отменена")*($F$2:$F$500&lt;&gt;"Возвращена"))&gt;1,"Пересечение","ОК"))))</f>
        <v/>
      </c>
      <c r="H135" s="12">
        <f>IF(OR(B135="",D135=""),"",IF(AND(OR(F135="Выдана",F135="Возвращена"),SUMPRODUCT(($B$2:$B$500=B135)*($D$2:$D$500=D135)*(($F$2:$F$500="Выдана")+($F$2:$F$500="Возвращена")))&gt;1),"Дубль",""))</f>
        <v/>
      </c>
      <c r="I135" s="13">
        <f>IF(OR(B135="",COUNT(D135:E135)&lt;2,E135&lt;D135),"",IF(Настройки!$B$6=Настройки!$M$3,INT(E135)-INT(D135)+1,ROUNDUP(ROUND((E135-D135)*24,2)/24,0)))</f>
        <v/>
      </c>
      <c r="J135" s="14" t="n"/>
      <c r="K135" s="15">
        <f>IF(OR(I135="",J135=""),"",IF(F135="Отменена",0,ROUND(I135*J135,2)))</f>
        <v/>
      </c>
      <c r="L135" s="15">
        <f>IF(K135="","",ROUND(K135*Настройки!$B$5,2))</f>
        <v/>
      </c>
      <c r="M135" s="15">
        <f>IF(A135="","",SUMIFS(Начисления!$M$2:$M$1000,Начисления!$F$2:$F$1000,A135))</f>
        <v/>
      </c>
      <c r="N135" s="15">
        <f>IF(A135="","",SUM(K135:M135))</f>
        <v/>
      </c>
      <c r="O135" s="14" t="n"/>
      <c r="P135" s="15">
        <f>IF(A135="","",N135-O135)</f>
        <v/>
      </c>
      <c r="Q135" s="10" t="n"/>
      <c r="R135" s="10" t="n"/>
      <c r="S135" s="16">
        <f>IF(ISNUMBER(D135),D135+TIME(3,0,0),"")</f>
        <v/>
      </c>
      <c r="T135" s="10" t="n"/>
      <c r="U135" s="17">
        <f>IF(OR(B135="",COUNT(D135:E135)&lt;2,E135&lt;D135,F135="Отменена"),0,MAX(0,MIN(E135,Сводка!$B$4)-MAX(D135,Сводка!$B$2)))</f>
        <v/>
      </c>
    </row>
    <row r="136">
      <c r="A136" s="9" t="n"/>
      <c r="B136" s="10" t="n"/>
      <c r="C136" s="10" t="n"/>
      <c r="D136" s="11" t="n"/>
      <c r="E136" s="11" t="n"/>
      <c r="F136" s="10" t="n"/>
      <c r="G136" s="12">
        <f>IF(B136="","",IF(OR(COUNT(D136:E136)&lt;2,E136&lt;D136),"Проверьте даты",IF(OR(F136="Отменена",F136="Возвращена"),"",IF(SUMPRODUCT(($B$2:$B$500=B136)*($D$2:$D$500&lt;=E136)*($E$2:$E$500&gt;=D136)*($F$2:$F$500&lt;&gt;"Отменена")*($F$2:$F$500&lt;&gt;"Возвращена"))&gt;1,"Пересечение","ОК"))))</f>
        <v/>
      </c>
      <c r="H136" s="12">
        <f>IF(OR(B136="",D136=""),"",IF(AND(OR(F136="Выдана",F136="Возвращена"),SUMPRODUCT(($B$2:$B$500=B136)*($D$2:$D$500=D136)*(($F$2:$F$500="Выдана")+($F$2:$F$500="Возвращена")))&gt;1),"Дубль",""))</f>
        <v/>
      </c>
      <c r="I136" s="13">
        <f>IF(OR(B136="",COUNT(D136:E136)&lt;2,E136&lt;D136),"",IF(Настройки!$B$6=Настройки!$M$3,INT(E136)-INT(D136)+1,ROUNDUP(ROUND((E136-D136)*24,2)/24,0)))</f>
        <v/>
      </c>
      <c r="J136" s="14" t="n"/>
      <c r="K136" s="15">
        <f>IF(OR(I136="",J136=""),"",IF(F136="Отменена",0,ROUND(I136*J136,2)))</f>
        <v/>
      </c>
      <c r="L136" s="15">
        <f>IF(K136="","",ROUND(K136*Настройки!$B$5,2))</f>
        <v/>
      </c>
      <c r="M136" s="15">
        <f>IF(A136="","",SUMIFS(Начисления!$M$2:$M$1000,Начисления!$F$2:$F$1000,A136))</f>
        <v/>
      </c>
      <c r="N136" s="15">
        <f>IF(A136="","",SUM(K136:M136))</f>
        <v/>
      </c>
      <c r="O136" s="14" t="n"/>
      <c r="P136" s="15">
        <f>IF(A136="","",N136-O136)</f>
        <v/>
      </c>
      <c r="Q136" s="10" t="n"/>
      <c r="R136" s="10" t="n"/>
      <c r="S136" s="16">
        <f>IF(ISNUMBER(D136),D136+TIME(3,0,0),"")</f>
        <v/>
      </c>
      <c r="T136" s="10" t="n"/>
      <c r="U136" s="17">
        <f>IF(OR(B136="",COUNT(D136:E136)&lt;2,E136&lt;D136,F136="Отменена"),0,MAX(0,MIN(E136,Сводка!$B$4)-MAX(D136,Сводка!$B$2)))</f>
        <v/>
      </c>
    </row>
    <row r="137">
      <c r="A137" s="9" t="n"/>
      <c r="B137" s="10" t="n"/>
      <c r="C137" s="10" t="n"/>
      <c r="D137" s="11" t="n"/>
      <c r="E137" s="11" t="n"/>
      <c r="F137" s="10" t="n"/>
      <c r="G137" s="12">
        <f>IF(B137="","",IF(OR(COUNT(D137:E137)&lt;2,E137&lt;D137),"Проверьте даты",IF(OR(F137="Отменена",F137="Возвращена"),"",IF(SUMPRODUCT(($B$2:$B$500=B137)*($D$2:$D$500&lt;=E137)*($E$2:$E$500&gt;=D137)*($F$2:$F$500&lt;&gt;"Отменена")*($F$2:$F$500&lt;&gt;"Возвращена"))&gt;1,"Пересечение","ОК"))))</f>
        <v/>
      </c>
      <c r="H137" s="12">
        <f>IF(OR(B137="",D137=""),"",IF(AND(OR(F137="Выдана",F137="Возвращена"),SUMPRODUCT(($B$2:$B$500=B137)*($D$2:$D$500=D137)*(($F$2:$F$500="Выдана")+($F$2:$F$500="Возвращена")))&gt;1),"Дубль",""))</f>
        <v/>
      </c>
      <c r="I137" s="13">
        <f>IF(OR(B137="",COUNT(D137:E137)&lt;2,E137&lt;D137),"",IF(Настройки!$B$6=Настройки!$M$3,INT(E137)-INT(D137)+1,ROUNDUP(ROUND((E137-D137)*24,2)/24,0)))</f>
        <v/>
      </c>
      <c r="J137" s="14" t="n"/>
      <c r="K137" s="15">
        <f>IF(OR(I137="",J137=""),"",IF(F137="Отменена",0,ROUND(I137*J137,2)))</f>
        <v/>
      </c>
      <c r="L137" s="15">
        <f>IF(K137="","",ROUND(K137*Настройки!$B$5,2))</f>
        <v/>
      </c>
      <c r="M137" s="15">
        <f>IF(A137="","",SUMIFS(Начисления!$M$2:$M$1000,Начисления!$F$2:$F$1000,A137))</f>
        <v/>
      </c>
      <c r="N137" s="15">
        <f>IF(A137="","",SUM(K137:M137))</f>
        <v/>
      </c>
      <c r="O137" s="14" t="n"/>
      <c r="P137" s="15">
        <f>IF(A137="","",N137-O137)</f>
        <v/>
      </c>
      <c r="Q137" s="10" t="n"/>
      <c r="R137" s="10" t="n"/>
      <c r="S137" s="16">
        <f>IF(ISNUMBER(D137),D137+TIME(3,0,0),"")</f>
        <v/>
      </c>
      <c r="T137" s="10" t="n"/>
      <c r="U137" s="17">
        <f>IF(OR(B137="",COUNT(D137:E137)&lt;2,E137&lt;D137,F137="Отменена"),0,MAX(0,MIN(E137,Сводка!$B$4)-MAX(D137,Сводка!$B$2)))</f>
        <v/>
      </c>
    </row>
    <row r="138">
      <c r="A138" s="9" t="n"/>
      <c r="B138" s="10" t="n"/>
      <c r="C138" s="10" t="n"/>
      <c r="D138" s="11" t="n"/>
      <c r="E138" s="11" t="n"/>
      <c r="F138" s="10" t="n"/>
      <c r="G138" s="12">
        <f>IF(B138="","",IF(OR(COUNT(D138:E138)&lt;2,E138&lt;D138),"Проверьте даты",IF(OR(F138="Отменена",F138="Возвращена"),"",IF(SUMPRODUCT(($B$2:$B$500=B138)*($D$2:$D$500&lt;=E138)*($E$2:$E$500&gt;=D138)*($F$2:$F$500&lt;&gt;"Отменена")*($F$2:$F$500&lt;&gt;"Возвращена"))&gt;1,"Пересечение","ОК"))))</f>
        <v/>
      </c>
      <c r="H138" s="12">
        <f>IF(OR(B138="",D138=""),"",IF(AND(OR(F138="Выдана",F138="Возвращена"),SUMPRODUCT(($B$2:$B$500=B138)*($D$2:$D$500=D138)*(($F$2:$F$500="Выдана")+($F$2:$F$500="Возвращена")))&gt;1),"Дубль",""))</f>
        <v/>
      </c>
      <c r="I138" s="13">
        <f>IF(OR(B138="",COUNT(D138:E138)&lt;2,E138&lt;D138),"",IF(Настройки!$B$6=Настройки!$M$3,INT(E138)-INT(D138)+1,ROUNDUP(ROUND((E138-D138)*24,2)/24,0)))</f>
        <v/>
      </c>
      <c r="J138" s="14" t="n"/>
      <c r="K138" s="15">
        <f>IF(OR(I138="",J138=""),"",IF(F138="Отменена",0,ROUND(I138*J138,2)))</f>
        <v/>
      </c>
      <c r="L138" s="15">
        <f>IF(K138="","",ROUND(K138*Настройки!$B$5,2))</f>
        <v/>
      </c>
      <c r="M138" s="15">
        <f>IF(A138="","",SUMIFS(Начисления!$M$2:$M$1000,Начисления!$F$2:$F$1000,A138))</f>
        <v/>
      </c>
      <c r="N138" s="15">
        <f>IF(A138="","",SUM(K138:M138))</f>
        <v/>
      </c>
      <c r="O138" s="14" t="n"/>
      <c r="P138" s="15">
        <f>IF(A138="","",N138-O138)</f>
        <v/>
      </c>
      <c r="Q138" s="10" t="n"/>
      <c r="R138" s="10" t="n"/>
      <c r="S138" s="16">
        <f>IF(ISNUMBER(D138),D138+TIME(3,0,0),"")</f>
        <v/>
      </c>
      <c r="T138" s="10" t="n"/>
      <c r="U138" s="17">
        <f>IF(OR(B138="",COUNT(D138:E138)&lt;2,E138&lt;D138,F138="Отменена"),0,MAX(0,MIN(E138,Сводка!$B$4)-MAX(D138,Сводка!$B$2)))</f>
        <v/>
      </c>
    </row>
    <row r="139">
      <c r="A139" s="9" t="n"/>
      <c r="B139" s="10" t="n"/>
      <c r="C139" s="10" t="n"/>
      <c r="D139" s="11" t="n"/>
      <c r="E139" s="11" t="n"/>
      <c r="F139" s="10" t="n"/>
      <c r="G139" s="12">
        <f>IF(B139="","",IF(OR(COUNT(D139:E139)&lt;2,E139&lt;D139),"Проверьте даты",IF(OR(F139="Отменена",F139="Возвращена"),"",IF(SUMPRODUCT(($B$2:$B$500=B139)*($D$2:$D$500&lt;=E139)*($E$2:$E$500&gt;=D139)*($F$2:$F$500&lt;&gt;"Отменена")*($F$2:$F$500&lt;&gt;"Возвращена"))&gt;1,"Пересечение","ОК"))))</f>
        <v/>
      </c>
      <c r="H139" s="12">
        <f>IF(OR(B139="",D139=""),"",IF(AND(OR(F139="Выдана",F139="Возвращена"),SUMPRODUCT(($B$2:$B$500=B139)*($D$2:$D$500=D139)*(($F$2:$F$500="Выдана")+($F$2:$F$500="Возвращена")))&gt;1),"Дубль",""))</f>
        <v/>
      </c>
      <c r="I139" s="13">
        <f>IF(OR(B139="",COUNT(D139:E139)&lt;2,E139&lt;D139),"",IF(Настройки!$B$6=Настройки!$M$3,INT(E139)-INT(D139)+1,ROUNDUP(ROUND((E139-D139)*24,2)/24,0)))</f>
        <v/>
      </c>
      <c r="J139" s="14" t="n"/>
      <c r="K139" s="15">
        <f>IF(OR(I139="",J139=""),"",IF(F139="Отменена",0,ROUND(I139*J139,2)))</f>
        <v/>
      </c>
      <c r="L139" s="15">
        <f>IF(K139="","",ROUND(K139*Настройки!$B$5,2))</f>
        <v/>
      </c>
      <c r="M139" s="15">
        <f>IF(A139="","",SUMIFS(Начисления!$M$2:$M$1000,Начисления!$F$2:$F$1000,A139))</f>
        <v/>
      </c>
      <c r="N139" s="15">
        <f>IF(A139="","",SUM(K139:M139))</f>
        <v/>
      </c>
      <c r="O139" s="14" t="n"/>
      <c r="P139" s="15">
        <f>IF(A139="","",N139-O139)</f>
        <v/>
      </c>
      <c r="Q139" s="10" t="n"/>
      <c r="R139" s="10" t="n"/>
      <c r="S139" s="16">
        <f>IF(ISNUMBER(D139),D139+TIME(3,0,0),"")</f>
        <v/>
      </c>
      <c r="T139" s="10" t="n"/>
      <c r="U139" s="17">
        <f>IF(OR(B139="",COUNT(D139:E139)&lt;2,E139&lt;D139,F139="Отменена"),0,MAX(0,MIN(E139,Сводка!$B$4)-MAX(D139,Сводка!$B$2)))</f>
        <v/>
      </c>
    </row>
    <row r="140">
      <c r="A140" s="9" t="n"/>
      <c r="B140" s="10" t="n"/>
      <c r="C140" s="10" t="n"/>
      <c r="D140" s="11" t="n"/>
      <c r="E140" s="11" t="n"/>
      <c r="F140" s="10" t="n"/>
      <c r="G140" s="12">
        <f>IF(B140="","",IF(OR(COUNT(D140:E140)&lt;2,E140&lt;D140),"Проверьте даты",IF(OR(F140="Отменена",F140="Возвращена"),"",IF(SUMPRODUCT(($B$2:$B$500=B140)*($D$2:$D$500&lt;=E140)*($E$2:$E$500&gt;=D140)*($F$2:$F$500&lt;&gt;"Отменена")*($F$2:$F$500&lt;&gt;"Возвращена"))&gt;1,"Пересечение","ОК"))))</f>
        <v/>
      </c>
      <c r="H140" s="12">
        <f>IF(OR(B140="",D140=""),"",IF(AND(OR(F140="Выдана",F140="Возвращена"),SUMPRODUCT(($B$2:$B$500=B140)*($D$2:$D$500=D140)*(($F$2:$F$500="Выдана")+($F$2:$F$500="Возвращена")))&gt;1),"Дубль",""))</f>
        <v/>
      </c>
      <c r="I140" s="13">
        <f>IF(OR(B140="",COUNT(D140:E140)&lt;2,E140&lt;D140),"",IF(Настройки!$B$6=Настройки!$M$3,INT(E140)-INT(D140)+1,ROUNDUP(ROUND((E140-D140)*24,2)/24,0)))</f>
        <v/>
      </c>
      <c r="J140" s="14" t="n"/>
      <c r="K140" s="15">
        <f>IF(OR(I140="",J140=""),"",IF(F140="Отменена",0,ROUND(I140*J140,2)))</f>
        <v/>
      </c>
      <c r="L140" s="15">
        <f>IF(K140="","",ROUND(K140*Настройки!$B$5,2))</f>
        <v/>
      </c>
      <c r="M140" s="15">
        <f>IF(A140="","",SUMIFS(Начисления!$M$2:$M$1000,Начисления!$F$2:$F$1000,A140))</f>
        <v/>
      </c>
      <c r="N140" s="15">
        <f>IF(A140="","",SUM(K140:M140))</f>
        <v/>
      </c>
      <c r="O140" s="14" t="n"/>
      <c r="P140" s="15">
        <f>IF(A140="","",N140-O140)</f>
        <v/>
      </c>
      <c r="Q140" s="10" t="n"/>
      <c r="R140" s="10" t="n"/>
      <c r="S140" s="16">
        <f>IF(ISNUMBER(D140),D140+TIME(3,0,0),"")</f>
        <v/>
      </c>
      <c r="T140" s="10" t="n"/>
      <c r="U140" s="17">
        <f>IF(OR(B140="",COUNT(D140:E140)&lt;2,E140&lt;D140,F140="Отменена"),0,MAX(0,MIN(E140,Сводка!$B$4)-MAX(D140,Сводка!$B$2)))</f>
        <v/>
      </c>
    </row>
    <row r="141">
      <c r="A141" s="9" t="n"/>
      <c r="B141" s="10" t="n"/>
      <c r="C141" s="10" t="n"/>
      <c r="D141" s="11" t="n"/>
      <c r="E141" s="11" t="n"/>
      <c r="F141" s="10" t="n"/>
      <c r="G141" s="12">
        <f>IF(B141="","",IF(OR(COUNT(D141:E141)&lt;2,E141&lt;D141),"Проверьте даты",IF(OR(F141="Отменена",F141="Возвращена"),"",IF(SUMPRODUCT(($B$2:$B$500=B141)*($D$2:$D$500&lt;=E141)*($E$2:$E$500&gt;=D141)*($F$2:$F$500&lt;&gt;"Отменена")*($F$2:$F$500&lt;&gt;"Возвращена"))&gt;1,"Пересечение","ОК"))))</f>
        <v/>
      </c>
      <c r="H141" s="12">
        <f>IF(OR(B141="",D141=""),"",IF(AND(OR(F141="Выдана",F141="Возвращена"),SUMPRODUCT(($B$2:$B$500=B141)*($D$2:$D$500=D141)*(($F$2:$F$500="Выдана")+($F$2:$F$500="Возвращена")))&gt;1),"Дубль",""))</f>
        <v/>
      </c>
      <c r="I141" s="13">
        <f>IF(OR(B141="",COUNT(D141:E141)&lt;2,E141&lt;D141),"",IF(Настройки!$B$6=Настройки!$M$3,INT(E141)-INT(D141)+1,ROUNDUP(ROUND((E141-D141)*24,2)/24,0)))</f>
        <v/>
      </c>
      <c r="J141" s="14" t="n"/>
      <c r="K141" s="15">
        <f>IF(OR(I141="",J141=""),"",IF(F141="Отменена",0,ROUND(I141*J141,2)))</f>
        <v/>
      </c>
      <c r="L141" s="15">
        <f>IF(K141="","",ROUND(K141*Настройки!$B$5,2))</f>
        <v/>
      </c>
      <c r="M141" s="15">
        <f>IF(A141="","",SUMIFS(Начисления!$M$2:$M$1000,Начисления!$F$2:$F$1000,A141))</f>
        <v/>
      </c>
      <c r="N141" s="15">
        <f>IF(A141="","",SUM(K141:M141))</f>
        <v/>
      </c>
      <c r="O141" s="14" t="n"/>
      <c r="P141" s="15">
        <f>IF(A141="","",N141-O141)</f>
        <v/>
      </c>
      <c r="Q141" s="10" t="n"/>
      <c r="R141" s="10" t="n"/>
      <c r="S141" s="16">
        <f>IF(ISNUMBER(D141),D141+TIME(3,0,0),"")</f>
        <v/>
      </c>
      <c r="T141" s="10" t="n"/>
      <c r="U141" s="17">
        <f>IF(OR(B141="",COUNT(D141:E141)&lt;2,E141&lt;D141,F141="Отменена"),0,MAX(0,MIN(E141,Сводка!$B$4)-MAX(D141,Сводка!$B$2)))</f>
        <v/>
      </c>
    </row>
    <row r="142">
      <c r="A142" s="9" t="n"/>
      <c r="B142" s="10" t="n"/>
      <c r="C142" s="10" t="n"/>
      <c r="D142" s="11" t="n"/>
      <c r="E142" s="11" t="n"/>
      <c r="F142" s="10" t="n"/>
      <c r="G142" s="12">
        <f>IF(B142="","",IF(OR(COUNT(D142:E142)&lt;2,E142&lt;D142),"Проверьте даты",IF(OR(F142="Отменена",F142="Возвращена"),"",IF(SUMPRODUCT(($B$2:$B$500=B142)*($D$2:$D$500&lt;=E142)*($E$2:$E$500&gt;=D142)*($F$2:$F$500&lt;&gt;"Отменена")*($F$2:$F$500&lt;&gt;"Возвращена"))&gt;1,"Пересечение","ОК"))))</f>
        <v/>
      </c>
      <c r="H142" s="12">
        <f>IF(OR(B142="",D142=""),"",IF(AND(OR(F142="Выдана",F142="Возвращена"),SUMPRODUCT(($B$2:$B$500=B142)*($D$2:$D$500=D142)*(($F$2:$F$500="Выдана")+($F$2:$F$500="Возвращена")))&gt;1),"Дубль",""))</f>
        <v/>
      </c>
      <c r="I142" s="13">
        <f>IF(OR(B142="",COUNT(D142:E142)&lt;2,E142&lt;D142),"",IF(Настройки!$B$6=Настройки!$M$3,INT(E142)-INT(D142)+1,ROUNDUP(ROUND((E142-D142)*24,2)/24,0)))</f>
        <v/>
      </c>
      <c r="J142" s="14" t="n"/>
      <c r="K142" s="15">
        <f>IF(OR(I142="",J142=""),"",IF(F142="Отменена",0,ROUND(I142*J142,2)))</f>
        <v/>
      </c>
      <c r="L142" s="15">
        <f>IF(K142="","",ROUND(K142*Настройки!$B$5,2))</f>
        <v/>
      </c>
      <c r="M142" s="15">
        <f>IF(A142="","",SUMIFS(Начисления!$M$2:$M$1000,Начисления!$F$2:$F$1000,A142))</f>
        <v/>
      </c>
      <c r="N142" s="15">
        <f>IF(A142="","",SUM(K142:M142))</f>
        <v/>
      </c>
      <c r="O142" s="14" t="n"/>
      <c r="P142" s="15">
        <f>IF(A142="","",N142-O142)</f>
        <v/>
      </c>
      <c r="Q142" s="10" t="n"/>
      <c r="R142" s="10" t="n"/>
      <c r="S142" s="16">
        <f>IF(ISNUMBER(D142),D142+TIME(3,0,0),"")</f>
        <v/>
      </c>
      <c r="T142" s="10" t="n"/>
      <c r="U142" s="17">
        <f>IF(OR(B142="",COUNT(D142:E142)&lt;2,E142&lt;D142,F142="Отменена"),0,MAX(0,MIN(E142,Сводка!$B$4)-MAX(D142,Сводка!$B$2)))</f>
        <v/>
      </c>
    </row>
    <row r="143">
      <c r="A143" s="9" t="n"/>
      <c r="B143" s="10" t="n"/>
      <c r="C143" s="10" t="n"/>
      <c r="D143" s="11" t="n"/>
      <c r="E143" s="11" t="n"/>
      <c r="F143" s="10" t="n"/>
      <c r="G143" s="12">
        <f>IF(B143="","",IF(OR(COUNT(D143:E143)&lt;2,E143&lt;D143),"Проверьте даты",IF(OR(F143="Отменена",F143="Возвращена"),"",IF(SUMPRODUCT(($B$2:$B$500=B143)*($D$2:$D$500&lt;=E143)*($E$2:$E$500&gt;=D143)*($F$2:$F$500&lt;&gt;"Отменена")*($F$2:$F$500&lt;&gt;"Возвращена"))&gt;1,"Пересечение","ОК"))))</f>
        <v/>
      </c>
      <c r="H143" s="12">
        <f>IF(OR(B143="",D143=""),"",IF(AND(OR(F143="Выдана",F143="Возвращена"),SUMPRODUCT(($B$2:$B$500=B143)*($D$2:$D$500=D143)*(($F$2:$F$500="Выдана")+($F$2:$F$500="Возвращена")))&gt;1),"Дубль",""))</f>
        <v/>
      </c>
      <c r="I143" s="13">
        <f>IF(OR(B143="",COUNT(D143:E143)&lt;2,E143&lt;D143),"",IF(Настройки!$B$6=Настройки!$M$3,INT(E143)-INT(D143)+1,ROUNDUP(ROUND((E143-D143)*24,2)/24,0)))</f>
        <v/>
      </c>
      <c r="J143" s="14" t="n"/>
      <c r="K143" s="15">
        <f>IF(OR(I143="",J143=""),"",IF(F143="Отменена",0,ROUND(I143*J143,2)))</f>
        <v/>
      </c>
      <c r="L143" s="15">
        <f>IF(K143="","",ROUND(K143*Настройки!$B$5,2))</f>
        <v/>
      </c>
      <c r="M143" s="15">
        <f>IF(A143="","",SUMIFS(Начисления!$M$2:$M$1000,Начисления!$F$2:$F$1000,A143))</f>
        <v/>
      </c>
      <c r="N143" s="15">
        <f>IF(A143="","",SUM(K143:M143))</f>
        <v/>
      </c>
      <c r="O143" s="14" t="n"/>
      <c r="P143" s="15">
        <f>IF(A143="","",N143-O143)</f>
        <v/>
      </c>
      <c r="Q143" s="10" t="n"/>
      <c r="R143" s="10" t="n"/>
      <c r="S143" s="16">
        <f>IF(ISNUMBER(D143),D143+TIME(3,0,0),"")</f>
        <v/>
      </c>
      <c r="T143" s="10" t="n"/>
      <c r="U143" s="17">
        <f>IF(OR(B143="",COUNT(D143:E143)&lt;2,E143&lt;D143,F143="Отменена"),0,MAX(0,MIN(E143,Сводка!$B$4)-MAX(D143,Сводка!$B$2)))</f>
        <v/>
      </c>
    </row>
    <row r="144">
      <c r="A144" s="9" t="n"/>
      <c r="B144" s="10" t="n"/>
      <c r="C144" s="10" t="n"/>
      <c r="D144" s="11" t="n"/>
      <c r="E144" s="11" t="n"/>
      <c r="F144" s="10" t="n"/>
      <c r="G144" s="12">
        <f>IF(B144="","",IF(OR(COUNT(D144:E144)&lt;2,E144&lt;D144),"Проверьте даты",IF(OR(F144="Отменена",F144="Возвращена"),"",IF(SUMPRODUCT(($B$2:$B$500=B144)*($D$2:$D$500&lt;=E144)*($E$2:$E$500&gt;=D144)*($F$2:$F$500&lt;&gt;"Отменена")*($F$2:$F$500&lt;&gt;"Возвращена"))&gt;1,"Пересечение","ОК"))))</f>
        <v/>
      </c>
      <c r="H144" s="12">
        <f>IF(OR(B144="",D144=""),"",IF(AND(OR(F144="Выдана",F144="Возвращена"),SUMPRODUCT(($B$2:$B$500=B144)*($D$2:$D$500=D144)*(($F$2:$F$500="Выдана")+($F$2:$F$500="Возвращена")))&gt;1),"Дубль",""))</f>
        <v/>
      </c>
      <c r="I144" s="13">
        <f>IF(OR(B144="",COUNT(D144:E144)&lt;2,E144&lt;D144),"",IF(Настройки!$B$6=Настройки!$M$3,INT(E144)-INT(D144)+1,ROUNDUP(ROUND((E144-D144)*24,2)/24,0)))</f>
        <v/>
      </c>
      <c r="J144" s="14" t="n"/>
      <c r="K144" s="15">
        <f>IF(OR(I144="",J144=""),"",IF(F144="Отменена",0,ROUND(I144*J144,2)))</f>
        <v/>
      </c>
      <c r="L144" s="15">
        <f>IF(K144="","",ROUND(K144*Настройки!$B$5,2))</f>
        <v/>
      </c>
      <c r="M144" s="15">
        <f>IF(A144="","",SUMIFS(Начисления!$M$2:$M$1000,Начисления!$F$2:$F$1000,A144))</f>
        <v/>
      </c>
      <c r="N144" s="15">
        <f>IF(A144="","",SUM(K144:M144))</f>
        <v/>
      </c>
      <c r="O144" s="14" t="n"/>
      <c r="P144" s="15">
        <f>IF(A144="","",N144-O144)</f>
        <v/>
      </c>
      <c r="Q144" s="10" t="n"/>
      <c r="R144" s="10" t="n"/>
      <c r="S144" s="16">
        <f>IF(ISNUMBER(D144),D144+TIME(3,0,0),"")</f>
        <v/>
      </c>
      <c r="T144" s="10" t="n"/>
      <c r="U144" s="17">
        <f>IF(OR(B144="",COUNT(D144:E144)&lt;2,E144&lt;D144,F144="Отменена"),0,MAX(0,MIN(E144,Сводка!$B$4)-MAX(D144,Сводка!$B$2)))</f>
        <v/>
      </c>
    </row>
    <row r="145">
      <c r="A145" s="9" t="n"/>
      <c r="B145" s="10" t="n"/>
      <c r="C145" s="10" t="n"/>
      <c r="D145" s="11" t="n"/>
      <c r="E145" s="11" t="n"/>
      <c r="F145" s="10" t="n"/>
      <c r="G145" s="12">
        <f>IF(B145="","",IF(OR(COUNT(D145:E145)&lt;2,E145&lt;D145),"Проверьте даты",IF(OR(F145="Отменена",F145="Возвращена"),"",IF(SUMPRODUCT(($B$2:$B$500=B145)*($D$2:$D$500&lt;=E145)*($E$2:$E$500&gt;=D145)*($F$2:$F$500&lt;&gt;"Отменена")*($F$2:$F$500&lt;&gt;"Возвращена"))&gt;1,"Пересечение","ОК"))))</f>
        <v/>
      </c>
      <c r="H145" s="12">
        <f>IF(OR(B145="",D145=""),"",IF(AND(OR(F145="Выдана",F145="Возвращена"),SUMPRODUCT(($B$2:$B$500=B145)*($D$2:$D$500=D145)*(($F$2:$F$500="Выдана")+($F$2:$F$500="Возвращена")))&gt;1),"Дубль",""))</f>
        <v/>
      </c>
      <c r="I145" s="13">
        <f>IF(OR(B145="",COUNT(D145:E145)&lt;2,E145&lt;D145),"",IF(Настройки!$B$6=Настройки!$M$3,INT(E145)-INT(D145)+1,ROUNDUP(ROUND((E145-D145)*24,2)/24,0)))</f>
        <v/>
      </c>
      <c r="J145" s="14" t="n"/>
      <c r="K145" s="15">
        <f>IF(OR(I145="",J145=""),"",IF(F145="Отменена",0,ROUND(I145*J145,2)))</f>
        <v/>
      </c>
      <c r="L145" s="15">
        <f>IF(K145="","",ROUND(K145*Настройки!$B$5,2))</f>
        <v/>
      </c>
      <c r="M145" s="15">
        <f>IF(A145="","",SUMIFS(Начисления!$M$2:$M$1000,Начисления!$F$2:$F$1000,A145))</f>
        <v/>
      </c>
      <c r="N145" s="15">
        <f>IF(A145="","",SUM(K145:M145))</f>
        <v/>
      </c>
      <c r="O145" s="14" t="n"/>
      <c r="P145" s="15">
        <f>IF(A145="","",N145-O145)</f>
        <v/>
      </c>
      <c r="Q145" s="10" t="n"/>
      <c r="R145" s="10" t="n"/>
      <c r="S145" s="16">
        <f>IF(ISNUMBER(D145),D145+TIME(3,0,0),"")</f>
        <v/>
      </c>
      <c r="T145" s="10" t="n"/>
      <c r="U145" s="17">
        <f>IF(OR(B145="",COUNT(D145:E145)&lt;2,E145&lt;D145,F145="Отменена"),0,MAX(0,MIN(E145,Сводка!$B$4)-MAX(D145,Сводка!$B$2)))</f>
        <v/>
      </c>
    </row>
    <row r="146">
      <c r="A146" s="9" t="n"/>
      <c r="B146" s="10" t="n"/>
      <c r="C146" s="10" t="n"/>
      <c r="D146" s="11" t="n"/>
      <c r="E146" s="11" t="n"/>
      <c r="F146" s="10" t="n"/>
      <c r="G146" s="12">
        <f>IF(B146="","",IF(OR(COUNT(D146:E146)&lt;2,E146&lt;D146),"Проверьте даты",IF(OR(F146="Отменена",F146="Возвращена"),"",IF(SUMPRODUCT(($B$2:$B$500=B146)*($D$2:$D$500&lt;=E146)*($E$2:$E$500&gt;=D146)*($F$2:$F$500&lt;&gt;"Отменена")*($F$2:$F$500&lt;&gt;"Возвращена"))&gt;1,"Пересечение","ОК"))))</f>
        <v/>
      </c>
      <c r="H146" s="12">
        <f>IF(OR(B146="",D146=""),"",IF(AND(OR(F146="Выдана",F146="Возвращена"),SUMPRODUCT(($B$2:$B$500=B146)*($D$2:$D$500=D146)*(($F$2:$F$500="Выдана")+($F$2:$F$500="Возвращена")))&gt;1),"Дубль",""))</f>
        <v/>
      </c>
      <c r="I146" s="13">
        <f>IF(OR(B146="",COUNT(D146:E146)&lt;2,E146&lt;D146),"",IF(Настройки!$B$6=Настройки!$M$3,INT(E146)-INT(D146)+1,ROUNDUP(ROUND((E146-D146)*24,2)/24,0)))</f>
        <v/>
      </c>
      <c r="J146" s="14" t="n"/>
      <c r="K146" s="15">
        <f>IF(OR(I146="",J146=""),"",IF(F146="Отменена",0,ROUND(I146*J146,2)))</f>
        <v/>
      </c>
      <c r="L146" s="15">
        <f>IF(K146="","",ROUND(K146*Настройки!$B$5,2))</f>
        <v/>
      </c>
      <c r="M146" s="15">
        <f>IF(A146="","",SUMIFS(Начисления!$M$2:$M$1000,Начисления!$F$2:$F$1000,A146))</f>
        <v/>
      </c>
      <c r="N146" s="15">
        <f>IF(A146="","",SUM(K146:M146))</f>
        <v/>
      </c>
      <c r="O146" s="14" t="n"/>
      <c r="P146" s="15">
        <f>IF(A146="","",N146-O146)</f>
        <v/>
      </c>
      <c r="Q146" s="10" t="n"/>
      <c r="R146" s="10" t="n"/>
      <c r="S146" s="16">
        <f>IF(ISNUMBER(D146),D146+TIME(3,0,0),"")</f>
        <v/>
      </c>
      <c r="T146" s="10" t="n"/>
      <c r="U146" s="17">
        <f>IF(OR(B146="",COUNT(D146:E146)&lt;2,E146&lt;D146,F146="Отменена"),0,MAX(0,MIN(E146,Сводка!$B$4)-MAX(D146,Сводка!$B$2)))</f>
        <v/>
      </c>
    </row>
    <row r="147">
      <c r="A147" s="9" t="n"/>
      <c r="B147" s="10" t="n"/>
      <c r="C147" s="10" t="n"/>
      <c r="D147" s="11" t="n"/>
      <c r="E147" s="11" t="n"/>
      <c r="F147" s="10" t="n"/>
      <c r="G147" s="12">
        <f>IF(B147="","",IF(OR(COUNT(D147:E147)&lt;2,E147&lt;D147),"Проверьте даты",IF(OR(F147="Отменена",F147="Возвращена"),"",IF(SUMPRODUCT(($B$2:$B$500=B147)*($D$2:$D$500&lt;=E147)*($E$2:$E$500&gt;=D147)*($F$2:$F$500&lt;&gt;"Отменена")*($F$2:$F$500&lt;&gt;"Возвращена"))&gt;1,"Пересечение","ОК"))))</f>
        <v/>
      </c>
      <c r="H147" s="12">
        <f>IF(OR(B147="",D147=""),"",IF(AND(OR(F147="Выдана",F147="Возвращена"),SUMPRODUCT(($B$2:$B$500=B147)*($D$2:$D$500=D147)*(($F$2:$F$500="Выдана")+($F$2:$F$500="Возвращена")))&gt;1),"Дубль",""))</f>
        <v/>
      </c>
      <c r="I147" s="13">
        <f>IF(OR(B147="",COUNT(D147:E147)&lt;2,E147&lt;D147),"",IF(Настройки!$B$6=Настройки!$M$3,INT(E147)-INT(D147)+1,ROUNDUP(ROUND((E147-D147)*24,2)/24,0)))</f>
        <v/>
      </c>
      <c r="J147" s="14" t="n"/>
      <c r="K147" s="15">
        <f>IF(OR(I147="",J147=""),"",IF(F147="Отменена",0,ROUND(I147*J147,2)))</f>
        <v/>
      </c>
      <c r="L147" s="15">
        <f>IF(K147="","",ROUND(K147*Настройки!$B$5,2))</f>
        <v/>
      </c>
      <c r="M147" s="15">
        <f>IF(A147="","",SUMIFS(Начисления!$M$2:$M$1000,Начисления!$F$2:$F$1000,A147))</f>
        <v/>
      </c>
      <c r="N147" s="15">
        <f>IF(A147="","",SUM(K147:M147))</f>
        <v/>
      </c>
      <c r="O147" s="14" t="n"/>
      <c r="P147" s="15">
        <f>IF(A147="","",N147-O147)</f>
        <v/>
      </c>
      <c r="Q147" s="10" t="n"/>
      <c r="R147" s="10" t="n"/>
      <c r="S147" s="16">
        <f>IF(ISNUMBER(D147),D147+TIME(3,0,0),"")</f>
        <v/>
      </c>
      <c r="T147" s="10" t="n"/>
      <c r="U147" s="17">
        <f>IF(OR(B147="",COUNT(D147:E147)&lt;2,E147&lt;D147,F147="Отменена"),0,MAX(0,MIN(E147,Сводка!$B$4)-MAX(D147,Сводка!$B$2)))</f>
        <v/>
      </c>
    </row>
    <row r="148">
      <c r="A148" s="9" t="n"/>
      <c r="B148" s="10" t="n"/>
      <c r="C148" s="10" t="n"/>
      <c r="D148" s="11" t="n"/>
      <c r="E148" s="11" t="n"/>
      <c r="F148" s="10" t="n"/>
      <c r="G148" s="12">
        <f>IF(B148="","",IF(OR(COUNT(D148:E148)&lt;2,E148&lt;D148),"Проверьте даты",IF(OR(F148="Отменена",F148="Возвращена"),"",IF(SUMPRODUCT(($B$2:$B$500=B148)*($D$2:$D$500&lt;=E148)*($E$2:$E$500&gt;=D148)*($F$2:$F$500&lt;&gt;"Отменена")*($F$2:$F$500&lt;&gt;"Возвращена"))&gt;1,"Пересечение","ОК"))))</f>
        <v/>
      </c>
      <c r="H148" s="12">
        <f>IF(OR(B148="",D148=""),"",IF(AND(OR(F148="Выдана",F148="Возвращена"),SUMPRODUCT(($B$2:$B$500=B148)*($D$2:$D$500=D148)*(($F$2:$F$500="Выдана")+($F$2:$F$500="Возвращена")))&gt;1),"Дубль",""))</f>
        <v/>
      </c>
      <c r="I148" s="13">
        <f>IF(OR(B148="",COUNT(D148:E148)&lt;2,E148&lt;D148),"",IF(Настройки!$B$6=Настройки!$M$3,INT(E148)-INT(D148)+1,ROUNDUP(ROUND((E148-D148)*24,2)/24,0)))</f>
        <v/>
      </c>
      <c r="J148" s="14" t="n"/>
      <c r="K148" s="15">
        <f>IF(OR(I148="",J148=""),"",IF(F148="Отменена",0,ROUND(I148*J148,2)))</f>
        <v/>
      </c>
      <c r="L148" s="15">
        <f>IF(K148="","",ROUND(K148*Настройки!$B$5,2))</f>
        <v/>
      </c>
      <c r="M148" s="15">
        <f>IF(A148="","",SUMIFS(Начисления!$M$2:$M$1000,Начисления!$F$2:$F$1000,A148))</f>
        <v/>
      </c>
      <c r="N148" s="15">
        <f>IF(A148="","",SUM(K148:M148))</f>
        <v/>
      </c>
      <c r="O148" s="14" t="n"/>
      <c r="P148" s="15">
        <f>IF(A148="","",N148-O148)</f>
        <v/>
      </c>
      <c r="Q148" s="10" t="n"/>
      <c r="R148" s="10" t="n"/>
      <c r="S148" s="16">
        <f>IF(ISNUMBER(D148),D148+TIME(3,0,0),"")</f>
        <v/>
      </c>
      <c r="T148" s="10" t="n"/>
      <c r="U148" s="17">
        <f>IF(OR(B148="",COUNT(D148:E148)&lt;2,E148&lt;D148,F148="Отменена"),0,MAX(0,MIN(E148,Сводка!$B$4)-MAX(D148,Сводка!$B$2)))</f>
        <v/>
      </c>
    </row>
    <row r="149">
      <c r="A149" s="9" t="n"/>
      <c r="B149" s="10" t="n"/>
      <c r="C149" s="10" t="n"/>
      <c r="D149" s="11" t="n"/>
      <c r="E149" s="11" t="n"/>
      <c r="F149" s="10" t="n"/>
      <c r="G149" s="12">
        <f>IF(B149="","",IF(OR(COUNT(D149:E149)&lt;2,E149&lt;D149),"Проверьте даты",IF(OR(F149="Отменена",F149="Возвращена"),"",IF(SUMPRODUCT(($B$2:$B$500=B149)*($D$2:$D$500&lt;=E149)*($E$2:$E$500&gt;=D149)*($F$2:$F$500&lt;&gt;"Отменена")*($F$2:$F$500&lt;&gt;"Возвращена"))&gt;1,"Пересечение","ОК"))))</f>
        <v/>
      </c>
      <c r="H149" s="12">
        <f>IF(OR(B149="",D149=""),"",IF(AND(OR(F149="Выдана",F149="Возвращена"),SUMPRODUCT(($B$2:$B$500=B149)*($D$2:$D$500=D149)*(($F$2:$F$500="Выдана")+($F$2:$F$500="Возвращена")))&gt;1),"Дубль",""))</f>
        <v/>
      </c>
      <c r="I149" s="13">
        <f>IF(OR(B149="",COUNT(D149:E149)&lt;2,E149&lt;D149),"",IF(Настройки!$B$6=Настройки!$M$3,INT(E149)-INT(D149)+1,ROUNDUP(ROUND((E149-D149)*24,2)/24,0)))</f>
        <v/>
      </c>
      <c r="J149" s="14" t="n"/>
      <c r="K149" s="15">
        <f>IF(OR(I149="",J149=""),"",IF(F149="Отменена",0,ROUND(I149*J149,2)))</f>
        <v/>
      </c>
      <c r="L149" s="15">
        <f>IF(K149="","",ROUND(K149*Настройки!$B$5,2))</f>
        <v/>
      </c>
      <c r="M149" s="15">
        <f>IF(A149="","",SUMIFS(Начисления!$M$2:$M$1000,Начисления!$F$2:$F$1000,A149))</f>
        <v/>
      </c>
      <c r="N149" s="15">
        <f>IF(A149="","",SUM(K149:M149))</f>
        <v/>
      </c>
      <c r="O149" s="14" t="n"/>
      <c r="P149" s="15">
        <f>IF(A149="","",N149-O149)</f>
        <v/>
      </c>
      <c r="Q149" s="10" t="n"/>
      <c r="R149" s="10" t="n"/>
      <c r="S149" s="16">
        <f>IF(ISNUMBER(D149),D149+TIME(3,0,0),"")</f>
        <v/>
      </c>
      <c r="T149" s="10" t="n"/>
      <c r="U149" s="17">
        <f>IF(OR(B149="",COUNT(D149:E149)&lt;2,E149&lt;D149,F149="Отменена"),0,MAX(0,MIN(E149,Сводка!$B$4)-MAX(D149,Сводка!$B$2)))</f>
        <v/>
      </c>
    </row>
    <row r="150">
      <c r="A150" s="9" t="n"/>
      <c r="B150" s="10" t="n"/>
      <c r="C150" s="10" t="n"/>
      <c r="D150" s="11" t="n"/>
      <c r="E150" s="11" t="n"/>
      <c r="F150" s="10" t="n"/>
      <c r="G150" s="12">
        <f>IF(B150="","",IF(OR(COUNT(D150:E150)&lt;2,E150&lt;D150),"Проверьте даты",IF(OR(F150="Отменена",F150="Возвращена"),"",IF(SUMPRODUCT(($B$2:$B$500=B150)*($D$2:$D$500&lt;=E150)*($E$2:$E$500&gt;=D150)*($F$2:$F$500&lt;&gt;"Отменена")*($F$2:$F$500&lt;&gt;"Возвращена"))&gt;1,"Пересечение","ОК"))))</f>
        <v/>
      </c>
      <c r="H150" s="12">
        <f>IF(OR(B150="",D150=""),"",IF(AND(OR(F150="Выдана",F150="Возвращена"),SUMPRODUCT(($B$2:$B$500=B150)*($D$2:$D$500=D150)*(($F$2:$F$500="Выдана")+($F$2:$F$500="Возвращена")))&gt;1),"Дубль",""))</f>
        <v/>
      </c>
      <c r="I150" s="13">
        <f>IF(OR(B150="",COUNT(D150:E150)&lt;2,E150&lt;D150),"",IF(Настройки!$B$6=Настройки!$M$3,INT(E150)-INT(D150)+1,ROUNDUP(ROUND((E150-D150)*24,2)/24,0)))</f>
        <v/>
      </c>
      <c r="J150" s="14" t="n"/>
      <c r="K150" s="15">
        <f>IF(OR(I150="",J150=""),"",IF(F150="Отменена",0,ROUND(I150*J150,2)))</f>
        <v/>
      </c>
      <c r="L150" s="15">
        <f>IF(K150="","",ROUND(K150*Настройки!$B$5,2))</f>
        <v/>
      </c>
      <c r="M150" s="15">
        <f>IF(A150="","",SUMIFS(Начисления!$M$2:$M$1000,Начисления!$F$2:$F$1000,A150))</f>
        <v/>
      </c>
      <c r="N150" s="15">
        <f>IF(A150="","",SUM(K150:M150))</f>
        <v/>
      </c>
      <c r="O150" s="14" t="n"/>
      <c r="P150" s="15">
        <f>IF(A150="","",N150-O150)</f>
        <v/>
      </c>
      <c r="Q150" s="10" t="n"/>
      <c r="R150" s="10" t="n"/>
      <c r="S150" s="16">
        <f>IF(ISNUMBER(D150),D150+TIME(3,0,0),"")</f>
        <v/>
      </c>
      <c r="T150" s="10" t="n"/>
      <c r="U150" s="17">
        <f>IF(OR(B150="",COUNT(D150:E150)&lt;2,E150&lt;D150,F150="Отменена"),0,MAX(0,MIN(E150,Сводка!$B$4)-MAX(D150,Сводка!$B$2)))</f>
        <v/>
      </c>
    </row>
    <row r="151">
      <c r="A151" s="9" t="n"/>
      <c r="B151" s="10" t="n"/>
      <c r="C151" s="10" t="n"/>
      <c r="D151" s="11" t="n"/>
      <c r="E151" s="11" t="n"/>
      <c r="F151" s="10" t="n"/>
      <c r="G151" s="12">
        <f>IF(B151="","",IF(OR(COUNT(D151:E151)&lt;2,E151&lt;D151),"Проверьте даты",IF(OR(F151="Отменена",F151="Возвращена"),"",IF(SUMPRODUCT(($B$2:$B$500=B151)*($D$2:$D$500&lt;=E151)*($E$2:$E$500&gt;=D151)*($F$2:$F$500&lt;&gt;"Отменена")*($F$2:$F$500&lt;&gt;"Возвращена"))&gt;1,"Пересечение","ОК"))))</f>
        <v/>
      </c>
      <c r="H151" s="12">
        <f>IF(OR(B151="",D151=""),"",IF(AND(OR(F151="Выдана",F151="Возвращена"),SUMPRODUCT(($B$2:$B$500=B151)*($D$2:$D$500=D151)*(($F$2:$F$500="Выдана")+($F$2:$F$500="Возвращена")))&gt;1),"Дубль",""))</f>
        <v/>
      </c>
      <c r="I151" s="13">
        <f>IF(OR(B151="",COUNT(D151:E151)&lt;2,E151&lt;D151),"",IF(Настройки!$B$6=Настройки!$M$3,INT(E151)-INT(D151)+1,ROUNDUP(ROUND((E151-D151)*24,2)/24,0)))</f>
        <v/>
      </c>
      <c r="J151" s="14" t="n"/>
      <c r="K151" s="15">
        <f>IF(OR(I151="",J151=""),"",IF(F151="Отменена",0,ROUND(I151*J151,2)))</f>
        <v/>
      </c>
      <c r="L151" s="15">
        <f>IF(K151="","",ROUND(K151*Настройки!$B$5,2))</f>
        <v/>
      </c>
      <c r="M151" s="15">
        <f>IF(A151="","",SUMIFS(Начисления!$M$2:$M$1000,Начисления!$F$2:$F$1000,A151))</f>
        <v/>
      </c>
      <c r="N151" s="15">
        <f>IF(A151="","",SUM(K151:M151))</f>
        <v/>
      </c>
      <c r="O151" s="14" t="n"/>
      <c r="P151" s="15">
        <f>IF(A151="","",N151-O151)</f>
        <v/>
      </c>
      <c r="Q151" s="10" t="n"/>
      <c r="R151" s="10" t="n"/>
      <c r="S151" s="16">
        <f>IF(ISNUMBER(D151),D151+TIME(3,0,0),"")</f>
        <v/>
      </c>
      <c r="T151" s="10" t="n"/>
      <c r="U151" s="17">
        <f>IF(OR(B151="",COUNT(D151:E151)&lt;2,E151&lt;D151,F151="Отменена"),0,MAX(0,MIN(E151,Сводка!$B$4)-MAX(D151,Сводка!$B$2)))</f>
        <v/>
      </c>
    </row>
    <row r="152">
      <c r="A152" s="9" t="n"/>
      <c r="B152" s="10" t="n"/>
      <c r="C152" s="10" t="n"/>
      <c r="D152" s="11" t="n"/>
      <c r="E152" s="11" t="n"/>
      <c r="F152" s="10" t="n"/>
      <c r="G152" s="12">
        <f>IF(B152="","",IF(OR(COUNT(D152:E152)&lt;2,E152&lt;D152),"Проверьте даты",IF(OR(F152="Отменена",F152="Возвращена"),"",IF(SUMPRODUCT(($B$2:$B$500=B152)*($D$2:$D$500&lt;=E152)*($E$2:$E$500&gt;=D152)*($F$2:$F$500&lt;&gt;"Отменена")*($F$2:$F$500&lt;&gt;"Возвращена"))&gt;1,"Пересечение","ОК"))))</f>
        <v/>
      </c>
      <c r="H152" s="12">
        <f>IF(OR(B152="",D152=""),"",IF(AND(OR(F152="Выдана",F152="Возвращена"),SUMPRODUCT(($B$2:$B$500=B152)*($D$2:$D$500=D152)*(($F$2:$F$500="Выдана")+($F$2:$F$500="Возвращена")))&gt;1),"Дубль",""))</f>
        <v/>
      </c>
      <c r="I152" s="13">
        <f>IF(OR(B152="",COUNT(D152:E152)&lt;2,E152&lt;D152),"",IF(Настройки!$B$6=Настройки!$M$3,INT(E152)-INT(D152)+1,ROUNDUP(ROUND((E152-D152)*24,2)/24,0)))</f>
        <v/>
      </c>
      <c r="J152" s="14" t="n"/>
      <c r="K152" s="15">
        <f>IF(OR(I152="",J152=""),"",IF(F152="Отменена",0,ROUND(I152*J152,2)))</f>
        <v/>
      </c>
      <c r="L152" s="15">
        <f>IF(K152="","",ROUND(K152*Настройки!$B$5,2))</f>
        <v/>
      </c>
      <c r="M152" s="15">
        <f>IF(A152="","",SUMIFS(Начисления!$M$2:$M$1000,Начисления!$F$2:$F$1000,A152))</f>
        <v/>
      </c>
      <c r="N152" s="15">
        <f>IF(A152="","",SUM(K152:M152))</f>
        <v/>
      </c>
      <c r="O152" s="14" t="n"/>
      <c r="P152" s="15">
        <f>IF(A152="","",N152-O152)</f>
        <v/>
      </c>
      <c r="Q152" s="10" t="n"/>
      <c r="R152" s="10" t="n"/>
      <c r="S152" s="16">
        <f>IF(ISNUMBER(D152),D152+TIME(3,0,0),"")</f>
        <v/>
      </c>
      <c r="T152" s="10" t="n"/>
      <c r="U152" s="17">
        <f>IF(OR(B152="",COUNT(D152:E152)&lt;2,E152&lt;D152,F152="Отменена"),0,MAX(0,MIN(E152,Сводка!$B$4)-MAX(D152,Сводка!$B$2)))</f>
        <v/>
      </c>
    </row>
    <row r="153">
      <c r="A153" s="9" t="n"/>
      <c r="B153" s="10" t="n"/>
      <c r="C153" s="10" t="n"/>
      <c r="D153" s="11" t="n"/>
      <c r="E153" s="11" t="n"/>
      <c r="F153" s="10" t="n"/>
      <c r="G153" s="12">
        <f>IF(B153="","",IF(OR(COUNT(D153:E153)&lt;2,E153&lt;D153),"Проверьте даты",IF(OR(F153="Отменена",F153="Возвращена"),"",IF(SUMPRODUCT(($B$2:$B$500=B153)*($D$2:$D$500&lt;=E153)*($E$2:$E$500&gt;=D153)*($F$2:$F$500&lt;&gt;"Отменена")*($F$2:$F$500&lt;&gt;"Возвращена"))&gt;1,"Пересечение","ОК"))))</f>
        <v/>
      </c>
      <c r="H153" s="12">
        <f>IF(OR(B153="",D153=""),"",IF(AND(OR(F153="Выдана",F153="Возвращена"),SUMPRODUCT(($B$2:$B$500=B153)*($D$2:$D$500=D153)*(($F$2:$F$500="Выдана")+($F$2:$F$500="Возвращена")))&gt;1),"Дубль",""))</f>
        <v/>
      </c>
      <c r="I153" s="13">
        <f>IF(OR(B153="",COUNT(D153:E153)&lt;2,E153&lt;D153),"",IF(Настройки!$B$6=Настройки!$M$3,INT(E153)-INT(D153)+1,ROUNDUP(ROUND((E153-D153)*24,2)/24,0)))</f>
        <v/>
      </c>
      <c r="J153" s="14" t="n"/>
      <c r="K153" s="15">
        <f>IF(OR(I153="",J153=""),"",IF(F153="Отменена",0,ROUND(I153*J153,2)))</f>
        <v/>
      </c>
      <c r="L153" s="15">
        <f>IF(K153="","",ROUND(K153*Настройки!$B$5,2))</f>
        <v/>
      </c>
      <c r="M153" s="15">
        <f>IF(A153="","",SUMIFS(Начисления!$M$2:$M$1000,Начисления!$F$2:$F$1000,A153))</f>
        <v/>
      </c>
      <c r="N153" s="15">
        <f>IF(A153="","",SUM(K153:M153))</f>
        <v/>
      </c>
      <c r="O153" s="14" t="n"/>
      <c r="P153" s="15">
        <f>IF(A153="","",N153-O153)</f>
        <v/>
      </c>
      <c r="Q153" s="10" t="n"/>
      <c r="R153" s="10" t="n"/>
      <c r="S153" s="16">
        <f>IF(ISNUMBER(D153),D153+TIME(3,0,0),"")</f>
        <v/>
      </c>
      <c r="T153" s="10" t="n"/>
      <c r="U153" s="17">
        <f>IF(OR(B153="",COUNT(D153:E153)&lt;2,E153&lt;D153,F153="Отменена"),0,MAX(0,MIN(E153,Сводка!$B$4)-MAX(D153,Сводка!$B$2)))</f>
        <v/>
      </c>
    </row>
    <row r="154">
      <c r="A154" s="9" t="n"/>
      <c r="B154" s="10" t="n"/>
      <c r="C154" s="10" t="n"/>
      <c r="D154" s="11" t="n"/>
      <c r="E154" s="11" t="n"/>
      <c r="F154" s="10" t="n"/>
      <c r="G154" s="12">
        <f>IF(B154="","",IF(OR(COUNT(D154:E154)&lt;2,E154&lt;D154),"Проверьте даты",IF(OR(F154="Отменена",F154="Возвращена"),"",IF(SUMPRODUCT(($B$2:$B$500=B154)*($D$2:$D$500&lt;=E154)*($E$2:$E$500&gt;=D154)*($F$2:$F$500&lt;&gt;"Отменена")*($F$2:$F$500&lt;&gt;"Возвращена"))&gt;1,"Пересечение","ОК"))))</f>
        <v/>
      </c>
      <c r="H154" s="12">
        <f>IF(OR(B154="",D154=""),"",IF(AND(OR(F154="Выдана",F154="Возвращена"),SUMPRODUCT(($B$2:$B$500=B154)*($D$2:$D$500=D154)*(($F$2:$F$500="Выдана")+($F$2:$F$500="Возвращена")))&gt;1),"Дубль",""))</f>
        <v/>
      </c>
      <c r="I154" s="13">
        <f>IF(OR(B154="",COUNT(D154:E154)&lt;2,E154&lt;D154),"",IF(Настройки!$B$6=Настройки!$M$3,INT(E154)-INT(D154)+1,ROUNDUP(ROUND((E154-D154)*24,2)/24,0)))</f>
        <v/>
      </c>
      <c r="J154" s="14" t="n"/>
      <c r="K154" s="15">
        <f>IF(OR(I154="",J154=""),"",IF(F154="Отменена",0,ROUND(I154*J154,2)))</f>
        <v/>
      </c>
      <c r="L154" s="15">
        <f>IF(K154="","",ROUND(K154*Настройки!$B$5,2))</f>
        <v/>
      </c>
      <c r="M154" s="15">
        <f>IF(A154="","",SUMIFS(Начисления!$M$2:$M$1000,Начисления!$F$2:$F$1000,A154))</f>
        <v/>
      </c>
      <c r="N154" s="15">
        <f>IF(A154="","",SUM(K154:M154))</f>
        <v/>
      </c>
      <c r="O154" s="14" t="n"/>
      <c r="P154" s="15">
        <f>IF(A154="","",N154-O154)</f>
        <v/>
      </c>
      <c r="Q154" s="10" t="n"/>
      <c r="R154" s="10" t="n"/>
      <c r="S154" s="16">
        <f>IF(ISNUMBER(D154),D154+TIME(3,0,0),"")</f>
        <v/>
      </c>
      <c r="T154" s="10" t="n"/>
      <c r="U154" s="17">
        <f>IF(OR(B154="",COUNT(D154:E154)&lt;2,E154&lt;D154,F154="Отменена"),0,MAX(0,MIN(E154,Сводка!$B$4)-MAX(D154,Сводка!$B$2)))</f>
        <v/>
      </c>
    </row>
    <row r="155">
      <c r="A155" s="9" t="n"/>
      <c r="B155" s="10" t="n"/>
      <c r="C155" s="10" t="n"/>
      <c r="D155" s="11" t="n"/>
      <c r="E155" s="11" t="n"/>
      <c r="F155" s="10" t="n"/>
      <c r="G155" s="12">
        <f>IF(B155="","",IF(OR(COUNT(D155:E155)&lt;2,E155&lt;D155),"Проверьте даты",IF(OR(F155="Отменена",F155="Возвращена"),"",IF(SUMPRODUCT(($B$2:$B$500=B155)*($D$2:$D$500&lt;=E155)*($E$2:$E$500&gt;=D155)*($F$2:$F$500&lt;&gt;"Отменена")*($F$2:$F$500&lt;&gt;"Возвращена"))&gt;1,"Пересечение","ОК"))))</f>
        <v/>
      </c>
      <c r="H155" s="12">
        <f>IF(OR(B155="",D155=""),"",IF(AND(OR(F155="Выдана",F155="Возвращена"),SUMPRODUCT(($B$2:$B$500=B155)*($D$2:$D$500=D155)*(($F$2:$F$500="Выдана")+($F$2:$F$500="Возвращена")))&gt;1),"Дубль",""))</f>
        <v/>
      </c>
      <c r="I155" s="13">
        <f>IF(OR(B155="",COUNT(D155:E155)&lt;2,E155&lt;D155),"",IF(Настройки!$B$6=Настройки!$M$3,INT(E155)-INT(D155)+1,ROUNDUP(ROUND((E155-D155)*24,2)/24,0)))</f>
        <v/>
      </c>
      <c r="J155" s="14" t="n"/>
      <c r="K155" s="15">
        <f>IF(OR(I155="",J155=""),"",IF(F155="Отменена",0,ROUND(I155*J155,2)))</f>
        <v/>
      </c>
      <c r="L155" s="15">
        <f>IF(K155="","",ROUND(K155*Настройки!$B$5,2))</f>
        <v/>
      </c>
      <c r="M155" s="15">
        <f>IF(A155="","",SUMIFS(Начисления!$M$2:$M$1000,Начисления!$F$2:$F$1000,A155))</f>
        <v/>
      </c>
      <c r="N155" s="15">
        <f>IF(A155="","",SUM(K155:M155))</f>
        <v/>
      </c>
      <c r="O155" s="14" t="n"/>
      <c r="P155" s="15">
        <f>IF(A155="","",N155-O155)</f>
        <v/>
      </c>
      <c r="Q155" s="10" t="n"/>
      <c r="R155" s="10" t="n"/>
      <c r="S155" s="16">
        <f>IF(ISNUMBER(D155),D155+TIME(3,0,0),"")</f>
        <v/>
      </c>
      <c r="T155" s="10" t="n"/>
      <c r="U155" s="17">
        <f>IF(OR(B155="",COUNT(D155:E155)&lt;2,E155&lt;D155,F155="Отменена"),0,MAX(0,MIN(E155,Сводка!$B$4)-MAX(D155,Сводка!$B$2)))</f>
        <v/>
      </c>
    </row>
    <row r="156">
      <c r="A156" s="9" t="n"/>
      <c r="B156" s="10" t="n"/>
      <c r="C156" s="10" t="n"/>
      <c r="D156" s="11" t="n"/>
      <c r="E156" s="11" t="n"/>
      <c r="F156" s="10" t="n"/>
      <c r="G156" s="12">
        <f>IF(B156="","",IF(OR(COUNT(D156:E156)&lt;2,E156&lt;D156),"Проверьте даты",IF(OR(F156="Отменена",F156="Возвращена"),"",IF(SUMPRODUCT(($B$2:$B$500=B156)*($D$2:$D$500&lt;=E156)*($E$2:$E$500&gt;=D156)*($F$2:$F$500&lt;&gt;"Отменена")*($F$2:$F$500&lt;&gt;"Возвращена"))&gt;1,"Пересечение","ОК"))))</f>
        <v/>
      </c>
      <c r="H156" s="12">
        <f>IF(OR(B156="",D156=""),"",IF(AND(OR(F156="Выдана",F156="Возвращена"),SUMPRODUCT(($B$2:$B$500=B156)*($D$2:$D$500=D156)*(($F$2:$F$500="Выдана")+($F$2:$F$500="Возвращена")))&gt;1),"Дубль",""))</f>
        <v/>
      </c>
      <c r="I156" s="13">
        <f>IF(OR(B156="",COUNT(D156:E156)&lt;2,E156&lt;D156),"",IF(Настройки!$B$6=Настройки!$M$3,INT(E156)-INT(D156)+1,ROUNDUP(ROUND((E156-D156)*24,2)/24,0)))</f>
        <v/>
      </c>
      <c r="J156" s="14" t="n"/>
      <c r="K156" s="15">
        <f>IF(OR(I156="",J156=""),"",IF(F156="Отменена",0,ROUND(I156*J156,2)))</f>
        <v/>
      </c>
      <c r="L156" s="15">
        <f>IF(K156="","",ROUND(K156*Настройки!$B$5,2))</f>
        <v/>
      </c>
      <c r="M156" s="15">
        <f>IF(A156="","",SUMIFS(Начисления!$M$2:$M$1000,Начисления!$F$2:$F$1000,A156))</f>
        <v/>
      </c>
      <c r="N156" s="15">
        <f>IF(A156="","",SUM(K156:M156))</f>
        <v/>
      </c>
      <c r="O156" s="14" t="n"/>
      <c r="P156" s="15">
        <f>IF(A156="","",N156-O156)</f>
        <v/>
      </c>
      <c r="Q156" s="10" t="n"/>
      <c r="R156" s="10" t="n"/>
      <c r="S156" s="16">
        <f>IF(ISNUMBER(D156),D156+TIME(3,0,0),"")</f>
        <v/>
      </c>
      <c r="T156" s="10" t="n"/>
      <c r="U156" s="17">
        <f>IF(OR(B156="",COUNT(D156:E156)&lt;2,E156&lt;D156,F156="Отменена"),0,MAX(0,MIN(E156,Сводка!$B$4)-MAX(D156,Сводка!$B$2)))</f>
        <v/>
      </c>
    </row>
    <row r="157">
      <c r="A157" s="9" t="n"/>
      <c r="B157" s="10" t="n"/>
      <c r="C157" s="10" t="n"/>
      <c r="D157" s="11" t="n"/>
      <c r="E157" s="11" t="n"/>
      <c r="F157" s="10" t="n"/>
      <c r="G157" s="12">
        <f>IF(B157="","",IF(OR(COUNT(D157:E157)&lt;2,E157&lt;D157),"Проверьте даты",IF(OR(F157="Отменена",F157="Возвращена"),"",IF(SUMPRODUCT(($B$2:$B$500=B157)*($D$2:$D$500&lt;=E157)*($E$2:$E$500&gt;=D157)*($F$2:$F$500&lt;&gt;"Отменена")*($F$2:$F$500&lt;&gt;"Возвращена"))&gt;1,"Пересечение","ОК"))))</f>
        <v/>
      </c>
      <c r="H157" s="12">
        <f>IF(OR(B157="",D157=""),"",IF(AND(OR(F157="Выдана",F157="Возвращена"),SUMPRODUCT(($B$2:$B$500=B157)*($D$2:$D$500=D157)*(($F$2:$F$500="Выдана")+($F$2:$F$500="Возвращена")))&gt;1),"Дубль",""))</f>
        <v/>
      </c>
      <c r="I157" s="13">
        <f>IF(OR(B157="",COUNT(D157:E157)&lt;2,E157&lt;D157),"",IF(Настройки!$B$6=Настройки!$M$3,INT(E157)-INT(D157)+1,ROUNDUP(ROUND((E157-D157)*24,2)/24,0)))</f>
        <v/>
      </c>
      <c r="J157" s="14" t="n"/>
      <c r="K157" s="15">
        <f>IF(OR(I157="",J157=""),"",IF(F157="Отменена",0,ROUND(I157*J157,2)))</f>
        <v/>
      </c>
      <c r="L157" s="15">
        <f>IF(K157="","",ROUND(K157*Настройки!$B$5,2))</f>
        <v/>
      </c>
      <c r="M157" s="15">
        <f>IF(A157="","",SUMIFS(Начисления!$M$2:$M$1000,Начисления!$F$2:$F$1000,A157))</f>
        <v/>
      </c>
      <c r="N157" s="15">
        <f>IF(A157="","",SUM(K157:M157))</f>
        <v/>
      </c>
      <c r="O157" s="14" t="n"/>
      <c r="P157" s="15">
        <f>IF(A157="","",N157-O157)</f>
        <v/>
      </c>
      <c r="Q157" s="10" t="n"/>
      <c r="R157" s="10" t="n"/>
      <c r="S157" s="16">
        <f>IF(ISNUMBER(D157),D157+TIME(3,0,0),"")</f>
        <v/>
      </c>
      <c r="T157" s="10" t="n"/>
      <c r="U157" s="17">
        <f>IF(OR(B157="",COUNT(D157:E157)&lt;2,E157&lt;D157,F157="Отменена"),0,MAX(0,MIN(E157,Сводка!$B$4)-MAX(D157,Сводка!$B$2)))</f>
        <v/>
      </c>
    </row>
    <row r="158">
      <c r="A158" s="9" t="n"/>
      <c r="B158" s="10" t="n"/>
      <c r="C158" s="10" t="n"/>
      <c r="D158" s="11" t="n"/>
      <c r="E158" s="11" t="n"/>
      <c r="F158" s="10" t="n"/>
      <c r="G158" s="12">
        <f>IF(B158="","",IF(OR(COUNT(D158:E158)&lt;2,E158&lt;D158),"Проверьте даты",IF(OR(F158="Отменена",F158="Возвращена"),"",IF(SUMPRODUCT(($B$2:$B$500=B158)*($D$2:$D$500&lt;=E158)*($E$2:$E$500&gt;=D158)*($F$2:$F$500&lt;&gt;"Отменена")*($F$2:$F$500&lt;&gt;"Возвращена"))&gt;1,"Пересечение","ОК"))))</f>
        <v/>
      </c>
      <c r="H158" s="12">
        <f>IF(OR(B158="",D158=""),"",IF(AND(OR(F158="Выдана",F158="Возвращена"),SUMPRODUCT(($B$2:$B$500=B158)*($D$2:$D$500=D158)*(($F$2:$F$500="Выдана")+($F$2:$F$500="Возвращена")))&gt;1),"Дубль",""))</f>
        <v/>
      </c>
      <c r="I158" s="13">
        <f>IF(OR(B158="",COUNT(D158:E158)&lt;2,E158&lt;D158),"",IF(Настройки!$B$6=Настройки!$M$3,INT(E158)-INT(D158)+1,ROUNDUP(ROUND((E158-D158)*24,2)/24,0)))</f>
        <v/>
      </c>
      <c r="J158" s="14" t="n"/>
      <c r="K158" s="15">
        <f>IF(OR(I158="",J158=""),"",IF(F158="Отменена",0,ROUND(I158*J158,2)))</f>
        <v/>
      </c>
      <c r="L158" s="15">
        <f>IF(K158="","",ROUND(K158*Настройки!$B$5,2))</f>
        <v/>
      </c>
      <c r="M158" s="15">
        <f>IF(A158="","",SUMIFS(Начисления!$M$2:$M$1000,Начисления!$F$2:$F$1000,A158))</f>
        <v/>
      </c>
      <c r="N158" s="15">
        <f>IF(A158="","",SUM(K158:M158))</f>
        <v/>
      </c>
      <c r="O158" s="14" t="n"/>
      <c r="P158" s="15">
        <f>IF(A158="","",N158-O158)</f>
        <v/>
      </c>
      <c r="Q158" s="10" t="n"/>
      <c r="R158" s="10" t="n"/>
      <c r="S158" s="16">
        <f>IF(ISNUMBER(D158),D158+TIME(3,0,0),"")</f>
        <v/>
      </c>
      <c r="T158" s="10" t="n"/>
      <c r="U158" s="17">
        <f>IF(OR(B158="",COUNT(D158:E158)&lt;2,E158&lt;D158,F158="Отменена"),0,MAX(0,MIN(E158,Сводка!$B$4)-MAX(D158,Сводка!$B$2)))</f>
        <v/>
      </c>
    </row>
    <row r="159">
      <c r="A159" s="9" t="n"/>
      <c r="B159" s="10" t="n"/>
      <c r="C159" s="10" t="n"/>
      <c r="D159" s="11" t="n"/>
      <c r="E159" s="11" t="n"/>
      <c r="F159" s="10" t="n"/>
      <c r="G159" s="12">
        <f>IF(B159="","",IF(OR(COUNT(D159:E159)&lt;2,E159&lt;D159),"Проверьте даты",IF(OR(F159="Отменена",F159="Возвращена"),"",IF(SUMPRODUCT(($B$2:$B$500=B159)*($D$2:$D$500&lt;=E159)*($E$2:$E$500&gt;=D159)*($F$2:$F$500&lt;&gt;"Отменена")*($F$2:$F$500&lt;&gt;"Возвращена"))&gt;1,"Пересечение","ОК"))))</f>
        <v/>
      </c>
      <c r="H159" s="12">
        <f>IF(OR(B159="",D159=""),"",IF(AND(OR(F159="Выдана",F159="Возвращена"),SUMPRODUCT(($B$2:$B$500=B159)*($D$2:$D$500=D159)*(($F$2:$F$500="Выдана")+($F$2:$F$500="Возвращена")))&gt;1),"Дубль",""))</f>
        <v/>
      </c>
      <c r="I159" s="13">
        <f>IF(OR(B159="",COUNT(D159:E159)&lt;2,E159&lt;D159),"",IF(Настройки!$B$6=Настройки!$M$3,INT(E159)-INT(D159)+1,ROUNDUP(ROUND((E159-D159)*24,2)/24,0)))</f>
        <v/>
      </c>
      <c r="J159" s="14" t="n"/>
      <c r="K159" s="15">
        <f>IF(OR(I159="",J159=""),"",IF(F159="Отменена",0,ROUND(I159*J159,2)))</f>
        <v/>
      </c>
      <c r="L159" s="15">
        <f>IF(K159="","",ROUND(K159*Настройки!$B$5,2))</f>
        <v/>
      </c>
      <c r="M159" s="15">
        <f>IF(A159="","",SUMIFS(Начисления!$M$2:$M$1000,Начисления!$F$2:$F$1000,A159))</f>
        <v/>
      </c>
      <c r="N159" s="15">
        <f>IF(A159="","",SUM(K159:M159))</f>
        <v/>
      </c>
      <c r="O159" s="14" t="n"/>
      <c r="P159" s="15">
        <f>IF(A159="","",N159-O159)</f>
        <v/>
      </c>
      <c r="Q159" s="10" t="n"/>
      <c r="R159" s="10" t="n"/>
      <c r="S159" s="16">
        <f>IF(ISNUMBER(D159),D159+TIME(3,0,0),"")</f>
        <v/>
      </c>
      <c r="T159" s="10" t="n"/>
      <c r="U159" s="17">
        <f>IF(OR(B159="",COUNT(D159:E159)&lt;2,E159&lt;D159,F159="Отменена"),0,MAX(0,MIN(E159,Сводка!$B$4)-MAX(D159,Сводка!$B$2)))</f>
        <v/>
      </c>
    </row>
    <row r="160">
      <c r="A160" s="9" t="n"/>
      <c r="B160" s="10" t="n"/>
      <c r="C160" s="10" t="n"/>
      <c r="D160" s="11" t="n"/>
      <c r="E160" s="11" t="n"/>
      <c r="F160" s="10" t="n"/>
      <c r="G160" s="12">
        <f>IF(B160="","",IF(OR(COUNT(D160:E160)&lt;2,E160&lt;D160),"Проверьте даты",IF(OR(F160="Отменена",F160="Возвращена"),"",IF(SUMPRODUCT(($B$2:$B$500=B160)*($D$2:$D$500&lt;=E160)*($E$2:$E$500&gt;=D160)*($F$2:$F$500&lt;&gt;"Отменена")*($F$2:$F$500&lt;&gt;"Возвращена"))&gt;1,"Пересечение","ОК"))))</f>
        <v/>
      </c>
      <c r="H160" s="12">
        <f>IF(OR(B160="",D160=""),"",IF(AND(OR(F160="Выдана",F160="Возвращена"),SUMPRODUCT(($B$2:$B$500=B160)*($D$2:$D$500=D160)*(($F$2:$F$500="Выдана")+($F$2:$F$500="Возвращена")))&gt;1),"Дубль",""))</f>
        <v/>
      </c>
      <c r="I160" s="13">
        <f>IF(OR(B160="",COUNT(D160:E160)&lt;2,E160&lt;D160),"",IF(Настройки!$B$6=Настройки!$M$3,INT(E160)-INT(D160)+1,ROUNDUP(ROUND((E160-D160)*24,2)/24,0)))</f>
        <v/>
      </c>
      <c r="J160" s="14" t="n"/>
      <c r="K160" s="15">
        <f>IF(OR(I160="",J160=""),"",IF(F160="Отменена",0,ROUND(I160*J160,2)))</f>
        <v/>
      </c>
      <c r="L160" s="15">
        <f>IF(K160="","",ROUND(K160*Настройки!$B$5,2))</f>
        <v/>
      </c>
      <c r="M160" s="15">
        <f>IF(A160="","",SUMIFS(Начисления!$M$2:$M$1000,Начисления!$F$2:$F$1000,A160))</f>
        <v/>
      </c>
      <c r="N160" s="15">
        <f>IF(A160="","",SUM(K160:M160))</f>
        <v/>
      </c>
      <c r="O160" s="14" t="n"/>
      <c r="P160" s="15">
        <f>IF(A160="","",N160-O160)</f>
        <v/>
      </c>
      <c r="Q160" s="10" t="n"/>
      <c r="R160" s="10" t="n"/>
      <c r="S160" s="16">
        <f>IF(ISNUMBER(D160),D160+TIME(3,0,0),"")</f>
        <v/>
      </c>
      <c r="T160" s="10" t="n"/>
      <c r="U160" s="17">
        <f>IF(OR(B160="",COUNT(D160:E160)&lt;2,E160&lt;D160,F160="Отменена"),0,MAX(0,MIN(E160,Сводка!$B$4)-MAX(D160,Сводка!$B$2)))</f>
        <v/>
      </c>
    </row>
    <row r="161">
      <c r="A161" s="9" t="n"/>
      <c r="B161" s="10" t="n"/>
      <c r="C161" s="10" t="n"/>
      <c r="D161" s="11" t="n"/>
      <c r="E161" s="11" t="n"/>
      <c r="F161" s="10" t="n"/>
      <c r="G161" s="12">
        <f>IF(B161="","",IF(OR(COUNT(D161:E161)&lt;2,E161&lt;D161),"Проверьте даты",IF(OR(F161="Отменена",F161="Возвращена"),"",IF(SUMPRODUCT(($B$2:$B$500=B161)*($D$2:$D$500&lt;=E161)*($E$2:$E$500&gt;=D161)*($F$2:$F$500&lt;&gt;"Отменена")*($F$2:$F$500&lt;&gt;"Возвращена"))&gt;1,"Пересечение","ОК"))))</f>
        <v/>
      </c>
      <c r="H161" s="12">
        <f>IF(OR(B161="",D161=""),"",IF(AND(OR(F161="Выдана",F161="Возвращена"),SUMPRODUCT(($B$2:$B$500=B161)*($D$2:$D$500=D161)*(($F$2:$F$500="Выдана")+($F$2:$F$500="Возвращена")))&gt;1),"Дубль",""))</f>
        <v/>
      </c>
      <c r="I161" s="13">
        <f>IF(OR(B161="",COUNT(D161:E161)&lt;2,E161&lt;D161),"",IF(Настройки!$B$6=Настройки!$M$3,INT(E161)-INT(D161)+1,ROUNDUP(ROUND((E161-D161)*24,2)/24,0)))</f>
        <v/>
      </c>
      <c r="J161" s="14" t="n"/>
      <c r="K161" s="15">
        <f>IF(OR(I161="",J161=""),"",IF(F161="Отменена",0,ROUND(I161*J161,2)))</f>
        <v/>
      </c>
      <c r="L161" s="15">
        <f>IF(K161="","",ROUND(K161*Настройки!$B$5,2))</f>
        <v/>
      </c>
      <c r="M161" s="15">
        <f>IF(A161="","",SUMIFS(Начисления!$M$2:$M$1000,Начисления!$F$2:$F$1000,A161))</f>
        <v/>
      </c>
      <c r="N161" s="15">
        <f>IF(A161="","",SUM(K161:M161))</f>
        <v/>
      </c>
      <c r="O161" s="14" t="n"/>
      <c r="P161" s="15">
        <f>IF(A161="","",N161-O161)</f>
        <v/>
      </c>
      <c r="Q161" s="10" t="n"/>
      <c r="R161" s="10" t="n"/>
      <c r="S161" s="16">
        <f>IF(ISNUMBER(D161),D161+TIME(3,0,0),"")</f>
        <v/>
      </c>
      <c r="T161" s="10" t="n"/>
      <c r="U161" s="17">
        <f>IF(OR(B161="",COUNT(D161:E161)&lt;2,E161&lt;D161,F161="Отменена"),0,MAX(0,MIN(E161,Сводка!$B$4)-MAX(D161,Сводка!$B$2)))</f>
        <v/>
      </c>
    </row>
    <row r="162">
      <c r="A162" s="9" t="n"/>
      <c r="B162" s="10" t="n"/>
      <c r="C162" s="10" t="n"/>
      <c r="D162" s="11" t="n"/>
      <c r="E162" s="11" t="n"/>
      <c r="F162" s="10" t="n"/>
      <c r="G162" s="12">
        <f>IF(B162="","",IF(OR(COUNT(D162:E162)&lt;2,E162&lt;D162),"Проверьте даты",IF(OR(F162="Отменена",F162="Возвращена"),"",IF(SUMPRODUCT(($B$2:$B$500=B162)*($D$2:$D$500&lt;=E162)*($E$2:$E$500&gt;=D162)*($F$2:$F$500&lt;&gt;"Отменена")*($F$2:$F$500&lt;&gt;"Возвращена"))&gt;1,"Пересечение","ОК"))))</f>
        <v/>
      </c>
      <c r="H162" s="12">
        <f>IF(OR(B162="",D162=""),"",IF(AND(OR(F162="Выдана",F162="Возвращена"),SUMPRODUCT(($B$2:$B$500=B162)*($D$2:$D$500=D162)*(($F$2:$F$500="Выдана")+($F$2:$F$500="Возвращена")))&gt;1),"Дубль",""))</f>
        <v/>
      </c>
      <c r="I162" s="13">
        <f>IF(OR(B162="",COUNT(D162:E162)&lt;2,E162&lt;D162),"",IF(Настройки!$B$6=Настройки!$M$3,INT(E162)-INT(D162)+1,ROUNDUP(ROUND((E162-D162)*24,2)/24,0)))</f>
        <v/>
      </c>
      <c r="J162" s="14" t="n"/>
      <c r="K162" s="15">
        <f>IF(OR(I162="",J162=""),"",IF(F162="Отменена",0,ROUND(I162*J162,2)))</f>
        <v/>
      </c>
      <c r="L162" s="15">
        <f>IF(K162="","",ROUND(K162*Настройки!$B$5,2))</f>
        <v/>
      </c>
      <c r="M162" s="15">
        <f>IF(A162="","",SUMIFS(Начисления!$M$2:$M$1000,Начисления!$F$2:$F$1000,A162))</f>
        <v/>
      </c>
      <c r="N162" s="15">
        <f>IF(A162="","",SUM(K162:M162))</f>
        <v/>
      </c>
      <c r="O162" s="14" t="n"/>
      <c r="P162" s="15">
        <f>IF(A162="","",N162-O162)</f>
        <v/>
      </c>
      <c r="Q162" s="10" t="n"/>
      <c r="R162" s="10" t="n"/>
      <c r="S162" s="16">
        <f>IF(ISNUMBER(D162),D162+TIME(3,0,0),"")</f>
        <v/>
      </c>
      <c r="T162" s="10" t="n"/>
      <c r="U162" s="17">
        <f>IF(OR(B162="",COUNT(D162:E162)&lt;2,E162&lt;D162,F162="Отменена"),0,MAX(0,MIN(E162,Сводка!$B$4)-MAX(D162,Сводка!$B$2)))</f>
        <v/>
      </c>
    </row>
    <row r="163">
      <c r="A163" s="9" t="n"/>
      <c r="B163" s="10" t="n"/>
      <c r="C163" s="10" t="n"/>
      <c r="D163" s="11" t="n"/>
      <c r="E163" s="11" t="n"/>
      <c r="F163" s="10" t="n"/>
      <c r="G163" s="12">
        <f>IF(B163="","",IF(OR(COUNT(D163:E163)&lt;2,E163&lt;D163),"Проверьте даты",IF(OR(F163="Отменена",F163="Возвращена"),"",IF(SUMPRODUCT(($B$2:$B$500=B163)*($D$2:$D$500&lt;=E163)*($E$2:$E$500&gt;=D163)*($F$2:$F$500&lt;&gt;"Отменена")*($F$2:$F$500&lt;&gt;"Возвращена"))&gt;1,"Пересечение","ОК"))))</f>
        <v/>
      </c>
      <c r="H163" s="12">
        <f>IF(OR(B163="",D163=""),"",IF(AND(OR(F163="Выдана",F163="Возвращена"),SUMPRODUCT(($B$2:$B$500=B163)*($D$2:$D$500=D163)*(($F$2:$F$500="Выдана")+($F$2:$F$500="Возвращена")))&gt;1),"Дубль",""))</f>
        <v/>
      </c>
      <c r="I163" s="13">
        <f>IF(OR(B163="",COUNT(D163:E163)&lt;2,E163&lt;D163),"",IF(Настройки!$B$6=Настройки!$M$3,INT(E163)-INT(D163)+1,ROUNDUP(ROUND((E163-D163)*24,2)/24,0)))</f>
        <v/>
      </c>
      <c r="J163" s="14" t="n"/>
      <c r="K163" s="15">
        <f>IF(OR(I163="",J163=""),"",IF(F163="Отменена",0,ROUND(I163*J163,2)))</f>
        <v/>
      </c>
      <c r="L163" s="15">
        <f>IF(K163="","",ROUND(K163*Настройки!$B$5,2))</f>
        <v/>
      </c>
      <c r="M163" s="15">
        <f>IF(A163="","",SUMIFS(Начисления!$M$2:$M$1000,Начисления!$F$2:$F$1000,A163))</f>
        <v/>
      </c>
      <c r="N163" s="15">
        <f>IF(A163="","",SUM(K163:M163))</f>
        <v/>
      </c>
      <c r="O163" s="14" t="n"/>
      <c r="P163" s="15">
        <f>IF(A163="","",N163-O163)</f>
        <v/>
      </c>
      <c r="Q163" s="10" t="n"/>
      <c r="R163" s="10" t="n"/>
      <c r="S163" s="16">
        <f>IF(ISNUMBER(D163),D163+TIME(3,0,0),"")</f>
        <v/>
      </c>
      <c r="T163" s="10" t="n"/>
      <c r="U163" s="17">
        <f>IF(OR(B163="",COUNT(D163:E163)&lt;2,E163&lt;D163,F163="Отменена"),0,MAX(0,MIN(E163,Сводка!$B$4)-MAX(D163,Сводка!$B$2)))</f>
        <v/>
      </c>
    </row>
    <row r="164">
      <c r="A164" s="9" t="n"/>
      <c r="B164" s="10" t="n"/>
      <c r="C164" s="10" t="n"/>
      <c r="D164" s="11" t="n"/>
      <c r="E164" s="11" t="n"/>
      <c r="F164" s="10" t="n"/>
      <c r="G164" s="12">
        <f>IF(B164="","",IF(OR(COUNT(D164:E164)&lt;2,E164&lt;D164),"Проверьте даты",IF(OR(F164="Отменена",F164="Возвращена"),"",IF(SUMPRODUCT(($B$2:$B$500=B164)*($D$2:$D$500&lt;=E164)*($E$2:$E$500&gt;=D164)*($F$2:$F$500&lt;&gt;"Отменена")*($F$2:$F$500&lt;&gt;"Возвращена"))&gt;1,"Пересечение","ОК"))))</f>
        <v/>
      </c>
      <c r="H164" s="12">
        <f>IF(OR(B164="",D164=""),"",IF(AND(OR(F164="Выдана",F164="Возвращена"),SUMPRODUCT(($B$2:$B$500=B164)*($D$2:$D$500=D164)*(($F$2:$F$500="Выдана")+($F$2:$F$500="Возвращена")))&gt;1),"Дубль",""))</f>
        <v/>
      </c>
      <c r="I164" s="13">
        <f>IF(OR(B164="",COUNT(D164:E164)&lt;2,E164&lt;D164),"",IF(Настройки!$B$6=Настройки!$M$3,INT(E164)-INT(D164)+1,ROUNDUP(ROUND((E164-D164)*24,2)/24,0)))</f>
        <v/>
      </c>
      <c r="J164" s="14" t="n"/>
      <c r="K164" s="15">
        <f>IF(OR(I164="",J164=""),"",IF(F164="Отменена",0,ROUND(I164*J164,2)))</f>
        <v/>
      </c>
      <c r="L164" s="15">
        <f>IF(K164="","",ROUND(K164*Настройки!$B$5,2))</f>
        <v/>
      </c>
      <c r="M164" s="15">
        <f>IF(A164="","",SUMIFS(Начисления!$M$2:$M$1000,Начисления!$F$2:$F$1000,A164))</f>
        <v/>
      </c>
      <c r="N164" s="15">
        <f>IF(A164="","",SUM(K164:M164))</f>
        <v/>
      </c>
      <c r="O164" s="14" t="n"/>
      <c r="P164" s="15">
        <f>IF(A164="","",N164-O164)</f>
        <v/>
      </c>
      <c r="Q164" s="10" t="n"/>
      <c r="R164" s="10" t="n"/>
      <c r="S164" s="16">
        <f>IF(ISNUMBER(D164),D164+TIME(3,0,0),"")</f>
        <v/>
      </c>
      <c r="T164" s="10" t="n"/>
      <c r="U164" s="17">
        <f>IF(OR(B164="",COUNT(D164:E164)&lt;2,E164&lt;D164,F164="Отменена"),0,MAX(0,MIN(E164,Сводка!$B$4)-MAX(D164,Сводка!$B$2)))</f>
        <v/>
      </c>
    </row>
    <row r="165">
      <c r="A165" s="9" t="n"/>
      <c r="B165" s="10" t="n"/>
      <c r="C165" s="10" t="n"/>
      <c r="D165" s="11" t="n"/>
      <c r="E165" s="11" t="n"/>
      <c r="F165" s="10" t="n"/>
      <c r="G165" s="12">
        <f>IF(B165="","",IF(OR(COUNT(D165:E165)&lt;2,E165&lt;D165),"Проверьте даты",IF(OR(F165="Отменена",F165="Возвращена"),"",IF(SUMPRODUCT(($B$2:$B$500=B165)*($D$2:$D$500&lt;=E165)*($E$2:$E$500&gt;=D165)*($F$2:$F$500&lt;&gt;"Отменена")*($F$2:$F$500&lt;&gt;"Возвращена"))&gt;1,"Пересечение","ОК"))))</f>
        <v/>
      </c>
      <c r="H165" s="12">
        <f>IF(OR(B165="",D165=""),"",IF(AND(OR(F165="Выдана",F165="Возвращена"),SUMPRODUCT(($B$2:$B$500=B165)*($D$2:$D$500=D165)*(($F$2:$F$500="Выдана")+($F$2:$F$500="Возвращена")))&gt;1),"Дубль",""))</f>
        <v/>
      </c>
      <c r="I165" s="13">
        <f>IF(OR(B165="",COUNT(D165:E165)&lt;2,E165&lt;D165),"",IF(Настройки!$B$6=Настройки!$M$3,INT(E165)-INT(D165)+1,ROUNDUP(ROUND((E165-D165)*24,2)/24,0)))</f>
        <v/>
      </c>
      <c r="J165" s="14" t="n"/>
      <c r="K165" s="15">
        <f>IF(OR(I165="",J165=""),"",IF(F165="Отменена",0,ROUND(I165*J165,2)))</f>
        <v/>
      </c>
      <c r="L165" s="15">
        <f>IF(K165="","",ROUND(K165*Настройки!$B$5,2))</f>
        <v/>
      </c>
      <c r="M165" s="15">
        <f>IF(A165="","",SUMIFS(Начисления!$M$2:$M$1000,Начисления!$F$2:$F$1000,A165))</f>
        <v/>
      </c>
      <c r="N165" s="15">
        <f>IF(A165="","",SUM(K165:M165))</f>
        <v/>
      </c>
      <c r="O165" s="14" t="n"/>
      <c r="P165" s="15">
        <f>IF(A165="","",N165-O165)</f>
        <v/>
      </c>
      <c r="Q165" s="10" t="n"/>
      <c r="R165" s="10" t="n"/>
      <c r="S165" s="16">
        <f>IF(ISNUMBER(D165),D165+TIME(3,0,0),"")</f>
        <v/>
      </c>
      <c r="T165" s="10" t="n"/>
      <c r="U165" s="17">
        <f>IF(OR(B165="",COUNT(D165:E165)&lt;2,E165&lt;D165,F165="Отменена"),0,MAX(0,MIN(E165,Сводка!$B$4)-MAX(D165,Сводка!$B$2)))</f>
        <v/>
      </c>
    </row>
    <row r="166">
      <c r="A166" s="9" t="n"/>
      <c r="B166" s="10" t="n"/>
      <c r="C166" s="10" t="n"/>
      <c r="D166" s="11" t="n"/>
      <c r="E166" s="11" t="n"/>
      <c r="F166" s="10" t="n"/>
      <c r="G166" s="12">
        <f>IF(B166="","",IF(OR(COUNT(D166:E166)&lt;2,E166&lt;D166),"Проверьте даты",IF(OR(F166="Отменена",F166="Возвращена"),"",IF(SUMPRODUCT(($B$2:$B$500=B166)*($D$2:$D$500&lt;=E166)*($E$2:$E$500&gt;=D166)*($F$2:$F$500&lt;&gt;"Отменена")*($F$2:$F$500&lt;&gt;"Возвращена"))&gt;1,"Пересечение","ОК"))))</f>
        <v/>
      </c>
      <c r="H166" s="12">
        <f>IF(OR(B166="",D166=""),"",IF(AND(OR(F166="Выдана",F166="Возвращена"),SUMPRODUCT(($B$2:$B$500=B166)*($D$2:$D$500=D166)*(($F$2:$F$500="Выдана")+($F$2:$F$500="Возвращена")))&gt;1),"Дубль",""))</f>
        <v/>
      </c>
      <c r="I166" s="13">
        <f>IF(OR(B166="",COUNT(D166:E166)&lt;2,E166&lt;D166),"",IF(Настройки!$B$6=Настройки!$M$3,INT(E166)-INT(D166)+1,ROUNDUP(ROUND((E166-D166)*24,2)/24,0)))</f>
        <v/>
      </c>
      <c r="J166" s="14" t="n"/>
      <c r="K166" s="15">
        <f>IF(OR(I166="",J166=""),"",IF(F166="Отменена",0,ROUND(I166*J166,2)))</f>
        <v/>
      </c>
      <c r="L166" s="15">
        <f>IF(K166="","",ROUND(K166*Настройки!$B$5,2))</f>
        <v/>
      </c>
      <c r="M166" s="15">
        <f>IF(A166="","",SUMIFS(Начисления!$M$2:$M$1000,Начисления!$F$2:$F$1000,A166))</f>
        <v/>
      </c>
      <c r="N166" s="15">
        <f>IF(A166="","",SUM(K166:M166))</f>
        <v/>
      </c>
      <c r="O166" s="14" t="n"/>
      <c r="P166" s="15">
        <f>IF(A166="","",N166-O166)</f>
        <v/>
      </c>
      <c r="Q166" s="10" t="n"/>
      <c r="R166" s="10" t="n"/>
      <c r="S166" s="16">
        <f>IF(ISNUMBER(D166),D166+TIME(3,0,0),"")</f>
        <v/>
      </c>
      <c r="T166" s="10" t="n"/>
      <c r="U166" s="17">
        <f>IF(OR(B166="",COUNT(D166:E166)&lt;2,E166&lt;D166,F166="Отменена"),0,MAX(0,MIN(E166,Сводка!$B$4)-MAX(D166,Сводка!$B$2)))</f>
        <v/>
      </c>
    </row>
    <row r="167">
      <c r="A167" s="9" t="n"/>
      <c r="B167" s="10" t="n"/>
      <c r="C167" s="10" t="n"/>
      <c r="D167" s="11" t="n"/>
      <c r="E167" s="11" t="n"/>
      <c r="F167" s="10" t="n"/>
      <c r="G167" s="12">
        <f>IF(B167="","",IF(OR(COUNT(D167:E167)&lt;2,E167&lt;D167),"Проверьте даты",IF(OR(F167="Отменена",F167="Возвращена"),"",IF(SUMPRODUCT(($B$2:$B$500=B167)*($D$2:$D$500&lt;=E167)*($E$2:$E$500&gt;=D167)*($F$2:$F$500&lt;&gt;"Отменена")*($F$2:$F$500&lt;&gt;"Возвращена"))&gt;1,"Пересечение","ОК"))))</f>
        <v/>
      </c>
      <c r="H167" s="12">
        <f>IF(OR(B167="",D167=""),"",IF(AND(OR(F167="Выдана",F167="Возвращена"),SUMPRODUCT(($B$2:$B$500=B167)*($D$2:$D$500=D167)*(($F$2:$F$500="Выдана")+($F$2:$F$500="Возвращена")))&gt;1),"Дубль",""))</f>
        <v/>
      </c>
      <c r="I167" s="13">
        <f>IF(OR(B167="",COUNT(D167:E167)&lt;2,E167&lt;D167),"",IF(Настройки!$B$6=Настройки!$M$3,INT(E167)-INT(D167)+1,ROUNDUP(ROUND((E167-D167)*24,2)/24,0)))</f>
        <v/>
      </c>
      <c r="J167" s="14" t="n"/>
      <c r="K167" s="15">
        <f>IF(OR(I167="",J167=""),"",IF(F167="Отменена",0,ROUND(I167*J167,2)))</f>
        <v/>
      </c>
      <c r="L167" s="15">
        <f>IF(K167="","",ROUND(K167*Настройки!$B$5,2))</f>
        <v/>
      </c>
      <c r="M167" s="15">
        <f>IF(A167="","",SUMIFS(Начисления!$M$2:$M$1000,Начисления!$F$2:$F$1000,A167))</f>
        <v/>
      </c>
      <c r="N167" s="15">
        <f>IF(A167="","",SUM(K167:M167))</f>
        <v/>
      </c>
      <c r="O167" s="14" t="n"/>
      <c r="P167" s="15">
        <f>IF(A167="","",N167-O167)</f>
        <v/>
      </c>
      <c r="Q167" s="10" t="n"/>
      <c r="R167" s="10" t="n"/>
      <c r="S167" s="16">
        <f>IF(ISNUMBER(D167),D167+TIME(3,0,0),"")</f>
        <v/>
      </c>
      <c r="T167" s="10" t="n"/>
      <c r="U167" s="17">
        <f>IF(OR(B167="",COUNT(D167:E167)&lt;2,E167&lt;D167,F167="Отменена"),0,MAX(0,MIN(E167,Сводка!$B$4)-MAX(D167,Сводка!$B$2)))</f>
        <v/>
      </c>
    </row>
    <row r="168">
      <c r="A168" s="9" t="n"/>
      <c r="B168" s="10" t="n"/>
      <c r="C168" s="10" t="n"/>
      <c r="D168" s="11" t="n"/>
      <c r="E168" s="11" t="n"/>
      <c r="F168" s="10" t="n"/>
      <c r="G168" s="12">
        <f>IF(B168="","",IF(OR(COUNT(D168:E168)&lt;2,E168&lt;D168),"Проверьте даты",IF(OR(F168="Отменена",F168="Возвращена"),"",IF(SUMPRODUCT(($B$2:$B$500=B168)*($D$2:$D$500&lt;=E168)*($E$2:$E$500&gt;=D168)*($F$2:$F$500&lt;&gt;"Отменена")*($F$2:$F$500&lt;&gt;"Возвращена"))&gt;1,"Пересечение","ОК"))))</f>
        <v/>
      </c>
      <c r="H168" s="12">
        <f>IF(OR(B168="",D168=""),"",IF(AND(OR(F168="Выдана",F168="Возвращена"),SUMPRODUCT(($B$2:$B$500=B168)*($D$2:$D$500=D168)*(($F$2:$F$500="Выдана")+($F$2:$F$500="Возвращена")))&gt;1),"Дубль",""))</f>
        <v/>
      </c>
      <c r="I168" s="13">
        <f>IF(OR(B168="",COUNT(D168:E168)&lt;2,E168&lt;D168),"",IF(Настройки!$B$6=Настройки!$M$3,INT(E168)-INT(D168)+1,ROUNDUP(ROUND((E168-D168)*24,2)/24,0)))</f>
        <v/>
      </c>
      <c r="J168" s="14" t="n"/>
      <c r="K168" s="15">
        <f>IF(OR(I168="",J168=""),"",IF(F168="Отменена",0,ROUND(I168*J168,2)))</f>
        <v/>
      </c>
      <c r="L168" s="15">
        <f>IF(K168="","",ROUND(K168*Настройки!$B$5,2))</f>
        <v/>
      </c>
      <c r="M168" s="15">
        <f>IF(A168="","",SUMIFS(Начисления!$M$2:$M$1000,Начисления!$F$2:$F$1000,A168))</f>
        <v/>
      </c>
      <c r="N168" s="15">
        <f>IF(A168="","",SUM(K168:M168))</f>
        <v/>
      </c>
      <c r="O168" s="14" t="n"/>
      <c r="P168" s="15">
        <f>IF(A168="","",N168-O168)</f>
        <v/>
      </c>
      <c r="Q168" s="10" t="n"/>
      <c r="R168" s="10" t="n"/>
      <c r="S168" s="16">
        <f>IF(ISNUMBER(D168),D168+TIME(3,0,0),"")</f>
        <v/>
      </c>
      <c r="T168" s="10" t="n"/>
      <c r="U168" s="17">
        <f>IF(OR(B168="",COUNT(D168:E168)&lt;2,E168&lt;D168,F168="Отменена"),0,MAX(0,MIN(E168,Сводка!$B$4)-MAX(D168,Сводка!$B$2)))</f>
        <v/>
      </c>
    </row>
    <row r="169">
      <c r="A169" s="9" t="n"/>
      <c r="B169" s="10" t="n"/>
      <c r="C169" s="10" t="n"/>
      <c r="D169" s="11" t="n"/>
      <c r="E169" s="11" t="n"/>
      <c r="F169" s="10" t="n"/>
      <c r="G169" s="12">
        <f>IF(B169="","",IF(OR(COUNT(D169:E169)&lt;2,E169&lt;D169),"Проверьте даты",IF(OR(F169="Отменена",F169="Возвращена"),"",IF(SUMPRODUCT(($B$2:$B$500=B169)*($D$2:$D$500&lt;=E169)*($E$2:$E$500&gt;=D169)*($F$2:$F$500&lt;&gt;"Отменена")*($F$2:$F$500&lt;&gt;"Возвращена"))&gt;1,"Пересечение","ОК"))))</f>
        <v/>
      </c>
      <c r="H169" s="12">
        <f>IF(OR(B169="",D169=""),"",IF(AND(OR(F169="Выдана",F169="Возвращена"),SUMPRODUCT(($B$2:$B$500=B169)*($D$2:$D$500=D169)*(($F$2:$F$500="Выдана")+($F$2:$F$500="Возвращена")))&gt;1),"Дубль",""))</f>
        <v/>
      </c>
      <c r="I169" s="13">
        <f>IF(OR(B169="",COUNT(D169:E169)&lt;2,E169&lt;D169),"",IF(Настройки!$B$6=Настройки!$M$3,INT(E169)-INT(D169)+1,ROUNDUP(ROUND((E169-D169)*24,2)/24,0)))</f>
        <v/>
      </c>
      <c r="J169" s="14" t="n"/>
      <c r="K169" s="15">
        <f>IF(OR(I169="",J169=""),"",IF(F169="Отменена",0,ROUND(I169*J169,2)))</f>
        <v/>
      </c>
      <c r="L169" s="15">
        <f>IF(K169="","",ROUND(K169*Настройки!$B$5,2))</f>
        <v/>
      </c>
      <c r="M169" s="15">
        <f>IF(A169="","",SUMIFS(Начисления!$M$2:$M$1000,Начисления!$F$2:$F$1000,A169))</f>
        <v/>
      </c>
      <c r="N169" s="15">
        <f>IF(A169="","",SUM(K169:M169))</f>
        <v/>
      </c>
      <c r="O169" s="14" t="n"/>
      <c r="P169" s="15">
        <f>IF(A169="","",N169-O169)</f>
        <v/>
      </c>
      <c r="Q169" s="10" t="n"/>
      <c r="R169" s="10" t="n"/>
      <c r="S169" s="16">
        <f>IF(ISNUMBER(D169),D169+TIME(3,0,0),"")</f>
        <v/>
      </c>
      <c r="T169" s="10" t="n"/>
      <c r="U169" s="17">
        <f>IF(OR(B169="",COUNT(D169:E169)&lt;2,E169&lt;D169,F169="Отменена"),0,MAX(0,MIN(E169,Сводка!$B$4)-MAX(D169,Сводка!$B$2)))</f>
        <v/>
      </c>
    </row>
    <row r="170">
      <c r="A170" s="9" t="n"/>
      <c r="B170" s="10" t="n"/>
      <c r="C170" s="10" t="n"/>
      <c r="D170" s="11" t="n"/>
      <c r="E170" s="11" t="n"/>
      <c r="F170" s="10" t="n"/>
      <c r="G170" s="12">
        <f>IF(B170="","",IF(OR(COUNT(D170:E170)&lt;2,E170&lt;D170),"Проверьте даты",IF(OR(F170="Отменена",F170="Возвращена"),"",IF(SUMPRODUCT(($B$2:$B$500=B170)*($D$2:$D$500&lt;=E170)*($E$2:$E$500&gt;=D170)*($F$2:$F$500&lt;&gt;"Отменена")*($F$2:$F$500&lt;&gt;"Возвращена"))&gt;1,"Пересечение","ОК"))))</f>
        <v/>
      </c>
      <c r="H170" s="12">
        <f>IF(OR(B170="",D170=""),"",IF(AND(OR(F170="Выдана",F170="Возвращена"),SUMPRODUCT(($B$2:$B$500=B170)*($D$2:$D$500=D170)*(($F$2:$F$500="Выдана")+($F$2:$F$500="Возвращена")))&gt;1),"Дубль",""))</f>
        <v/>
      </c>
      <c r="I170" s="13">
        <f>IF(OR(B170="",COUNT(D170:E170)&lt;2,E170&lt;D170),"",IF(Настройки!$B$6=Настройки!$M$3,INT(E170)-INT(D170)+1,ROUNDUP(ROUND((E170-D170)*24,2)/24,0)))</f>
        <v/>
      </c>
      <c r="J170" s="14" t="n"/>
      <c r="K170" s="15">
        <f>IF(OR(I170="",J170=""),"",IF(F170="Отменена",0,ROUND(I170*J170,2)))</f>
        <v/>
      </c>
      <c r="L170" s="15">
        <f>IF(K170="","",ROUND(K170*Настройки!$B$5,2))</f>
        <v/>
      </c>
      <c r="M170" s="15">
        <f>IF(A170="","",SUMIFS(Начисления!$M$2:$M$1000,Начисления!$F$2:$F$1000,A170))</f>
        <v/>
      </c>
      <c r="N170" s="15">
        <f>IF(A170="","",SUM(K170:M170))</f>
        <v/>
      </c>
      <c r="O170" s="14" t="n"/>
      <c r="P170" s="15">
        <f>IF(A170="","",N170-O170)</f>
        <v/>
      </c>
      <c r="Q170" s="10" t="n"/>
      <c r="R170" s="10" t="n"/>
      <c r="S170" s="16">
        <f>IF(ISNUMBER(D170),D170+TIME(3,0,0),"")</f>
        <v/>
      </c>
      <c r="T170" s="10" t="n"/>
      <c r="U170" s="17">
        <f>IF(OR(B170="",COUNT(D170:E170)&lt;2,E170&lt;D170,F170="Отменена"),0,MAX(0,MIN(E170,Сводка!$B$4)-MAX(D170,Сводка!$B$2)))</f>
        <v/>
      </c>
    </row>
    <row r="171">
      <c r="A171" s="9" t="n"/>
      <c r="B171" s="10" t="n"/>
      <c r="C171" s="10" t="n"/>
      <c r="D171" s="11" t="n"/>
      <c r="E171" s="11" t="n"/>
      <c r="F171" s="10" t="n"/>
      <c r="G171" s="12">
        <f>IF(B171="","",IF(OR(COUNT(D171:E171)&lt;2,E171&lt;D171),"Проверьте даты",IF(OR(F171="Отменена",F171="Возвращена"),"",IF(SUMPRODUCT(($B$2:$B$500=B171)*($D$2:$D$500&lt;=E171)*($E$2:$E$500&gt;=D171)*($F$2:$F$500&lt;&gt;"Отменена")*($F$2:$F$500&lt;&gt;"Возвращена"))&gt;1,"Пересечение","ОК"))))</f>
        <v/>
      </c>
      <c r="H171" s="12">
        <f>IF(OR(B171="",D171=""),"",IF(AND(OR(F171="Выдана",F171="Возвращена"),SUMPRODUCT(($B$2:$B$500=B171)*($D$2:$D$500=D171)*(($F$2:$F$500="Выдана")+($F$2:$F$500="Возвращена")))&gt;1),"Дубль",""))</f>
        <v/>
      </c>
      <c r="I171" s="13">
        <f>IF(OR(B171="",COUNT(D171:E171)&lt;2,E171&lt;D171),"",IF(Настройки!$B$6=Настройки!$M$3,INT(E171)-INT(D171)+1,ROUNDUP(ROUND((E171-D171)*24,2)/24,0)))</f>
        <v/>
      </c>
      <c r="J171" s="14" t="n"/>
      <c r="K171" s="15">
        <f>IF(OR(I171="",J171=""),"",IF(F171="Отменена",0,ROUND(I171*J171,2)))</f>
        <v/>
      </c>
      <c r="L171" s="15">
        <f>IF(K171="","",ROUND(K171*Настройки!$B$5,2))</f>
        <v/>
      </c>
      <c r="M171" s="15">
        <f>IF(A171="","",SUMIFS(Начисления!$M$2:$M$1000,Начисления!$F$2:$F$1000,A171))</f>
        <v/>
      </c>
      <c r="N171" s="15">
        <f>IF(A171="","",SUM(K171:M171))</f>
        <v/>
      </c>
      <c r="O171" s="14" t="n"/>
      <c r="P171" s="15">
        <f>IF(A171="","",N171-O171)</f>
        <v/>
      </c>
      <c r="Q171" s="10" t="n"/>
      <c r="R171" s="10" t="n"/>
      <c r="S171" s="16">
        <f>IF(ISNUMBER(D171),D171+TIME(3,0,0),"")</f>
        <v/>
      </c>
      <c r="T171" s="10" t="n"/>
      <c r="U171" s="17">
        <f>IF(OR(B171="",COUNT(D171:E171)&lt;2,E171&lt;D171,F171="Отменена"),0,MAX(0,MIN(E171,Сводка!$B$4)-MAX(D171,Сводка!$B$2)))</f>
        <v/>
      </c>
    </row>
    <row r="172">
      <c r="A172" s="9" t="n"/>
      <c r="B172" s="10" t="n"/>
      <c r="C172" s="10" t="n"/>
      <c r="D172" s="11" t="n"/>
      <c r="E172" s="11" t="n"/>
      <c r="F172" s="10" t="n"/>
      <c r="G172" s="12">
        <f>IF(B172="","",IF(OR(COUNT(D172:E172)&lt;2,E172&lt;D172),"Проверьте даты",IF(OR(F172="Отменена",F172="Возвращена"),"",IF(SUMPRODUCT(($B$2:$B$500=B172)*($D$2:$D$500&lt;=E172)*($E$2:$E$500&gt;=D172)*($F$2:$F$500&lt;&gt;"Отменена")*($F$2:$F$500&lt;&gt;"Возвращена"))&gt;1,"Пересечение","ОК"))))</f>
        <v/>
      </c>
      <c r="H172" s="12">
        <f>IF(OR(B172="",D172=""),"",IF(AND(OR(F172="Выдана",F172="Возвращена"),SUMPRODUCT(($B$2:$B$500=B172)*($D$2:$D$500=D172)*(($F$2:$F$500="Выдана")+($F$2:$F$500="Возвращена")))&gt;1),"Дубль",""))</f>
        <v/>
      </c>
      <c r="I172" s="13">
        <f>IF(OR(B172="",COUNT(D172:E172)&lt;2,E172&lt;D172),"",IF(Настройки!$B$6=Настройки!$M$3,INT(E172)-INT(D172)+1,ROUNDUP(ROUND((E172-D172)*24,2)/24,0)))</f>
        <v/>
      </c>
      <c r="J172" s="14" t="n"/>
      <c r="K172" s="15">
        <f>IF(OR(I172="",J172=""),"",IF(F172="Отменена",0,ROUND(I172*J172,2)))</f>
        <v/>
      </c>
      <c r="L172" s="15">
        <f>IF(K172="","",ROUND(K172*Настройки!$B$5,2))</f>
        <v/>
      </c>
      <c r="M172" s="15">
        <f>IF(A172="","",SUMIFS(Начисления!$M$2:$M$1000,Начисления!$F$2:$F$1000,A172))</f>
        <v/>
      </c>
      <c r="N172" s="15">
        <f>IF(A172="","",SUM(K172:M172))</f>
        <v/>
      </c>
      <c r="O172" s="14" t="n"/>
      <c r="P172" s="15">
        <f>IF(A172="","",N172-O172)</f>
        <v/>
      </c>
      <c r="Q172" s="10" t="n"/>
      <c r="R172" s="10" t="n"/>
      <c r="S172" s="16">
        <f>IF(ISNUMBER(D172),D172+TIME(3,0,0),"")</f>
        <v/>
      </c>
      <c r="T172" s="10" t="n"/>
      <c r="U172" s="17">
        <f>IF(OR(B172="",COUNT(D172:E172)&lt;2,E172&lt;D172,F172="Отменена"),0,MAX(0,MIN(E172,Сводка!$B$4)-MAX(D172,Сводка!$B$2)))</f>
        <v/>
      </c>
    </row>
    <row r="173">
      <c r="A173" s="9" t="n"/>
      <c r="B173" s="10" t="n"/>
      <c r="C173" s="10" t="n"/>
      <c r="D173" s="11" t="n"/>
      <c r="E173" s="11" t="n"/>
      <c r="F173" s="10" t="n"/>
      <c r="G173" s="12">
        <f>IF(B173="","",IF(OR(COUNT(D173:E173)&lt;2,E173&lt;D173),"Проверьте даты",IF(OR(F173="Отменена",F173="Возвращена"),"",IF(SUMPRODUCT(($B$2:$B$500=B173)*($D$2:$D$500&lt;=E173)*($E$2:$E$500&gt;=D173)*($F$2:$F$500&lt;&gt;"Отменена")*($F$2:$F$500&lt;&gt;"Возвращена"))&gt;1,"Пересечение","ОК"))))</f>
        <v/>
      </c>
      <c r="H173" s="12">
        <f>IF(OR(B173="",D173=""),"",IF(AND(OR(F173="Выдана",F173="Возвращена"),SUMPRODUCT(($B$2:$B$500=B173)*($D$2:$D$500=D173)*(($F$2:$F$500="Выдана")+($F$2:$F$500="Возвращена")))&gt;1),"Дубль",""))</f>
        <v/>
      </c>
      <c r="I173" s="13">
        <f>IF(OR(B173="",COUNT(D173:E173)&lt;2,E173&lt;D173),"",IF(Настройки!$B$6=Настройки!$M$3,INT(E173)-INT(D173)+1,ROUNDUP(ROUND((E173-D173)*24,2)/24,0)))</f>
        <v/>
      </c>
      <c r="J173" s="14" t="n"/>
      <c r="K173" s="15">
        <f>IF(OR(I173="",J173=""),"",IF(F173="Отменена",0,ROUND(I173*J173,2)))</f>
        <v/>
      </c>
      <c r="L173" s="15">
        <f>IF(K173="","",ROUND(K173*Настройки!$B$5,2))</f>
        <v/>
      </c>
      <c r="M173" s="15">
        <f>IF(A173="","",SUMIFS(Начисления!$M$2:$M$1000,Начисления!$F$2:$F$1000,A173))</f>
        <v/>
      </c>
      <c r="N173" s="15">
        <f>IF(A173="","",SUM(K173:M173))</f>
        <v/>
      </c>
      <c r="O173" s="14" t="n"/>
      <c r="P173" s="15">
        <f>IF(A173="","",N173-O173)</f>
        <v/>
      </c>
      <c r="Q173" s="10" t="n"/>
      <c r="R173" s="10" t="n"/>
      <c r="S173" s="16">
        <f>IF(ISNUMBER(D173),D173+TIME(3,0,0),"")</f>
        <v/>
      </c>
      <c r="T173" s="10" t="n"/>
      <c r="U173" s="17">
        <f>IF(OR(B173="",COUNT(D173:E173)&lt;2,E173&lt;D173,F173="Отменена"),0,MAX(0,MIN(E173,Сводка!$B$4)-MAX(D173,Сводка!$B$2)))</f>
        <v/>
      </c>
    </row>
    <row r="174">
      <c r="A174" s="9" t="n"/>
      <c r="B174" s="10" t="n"/>
      <c r="C174" s="10" t="n"/>
      <c r="D174" s="11" t="n"/>
      <c r="E174" s="11" t="n"/>
      <c r="F174" s="10" t="n"/>
      <c r="G174" s="12">
        <f>IF(B174="","",IF(OR(COUNT(D174:E174)&lt;2,E174&lt;D174),"Проверьте даты",IF(OR(F174="Отменена",F174="Возвращена"),"",IF(SUMPRODUCT(($B$2:$B$500=B174)*($D$2:$D$500&lt;=E174)*($E$2:$E$500&gt;=D174)*($F$2:$F$500&lt;&gt;"Отменена")*($F$2:$F$500&lt;&gt;"Возвращена"))&gt;1,"Пересечение","ОК"))))</f>
        <v/>
      </c>
      <c r="H174" s="12">
        <f>IF(OR(B174="",D174=""),"",IF(AND(OR(F174="Выдана",F174="Возвращена"),SUMPRODUCT(($B$2:$B$500=B174)*($D$2:$D$500=D174)*(($F$2:$F$500="Выдана")+($F$2:$F$500="Возвращена")))&gt;1),"Дубль",""))</f>
        <v/>
      </c>
      <c r="I174" s="13">
        <f>IF(OR(B174="",COUNT(D174:E174)&lt;2,E174&lt;D174),"",IF(Настройки!$B$6=Настройки!$M$3,INT(E174)-INT(D174)+1,ROUNDUP(ROUND((E174-D174)*24,2)/24,0)))</f>
        <v/>
      </c>
      <c r="J174" s="14" t="n"/>
      <c r="K174" s="15">
        <f>IF(OR(I174="",J174=""),"",IF(F174="Отменена",0,ROUND(I174*J174,2)))</f>
        <v/>
      </c>
      <c r="L174" s="15">
        <f>IF(K174="","",ROUND(K174*Настройки!$B$5,2))</f>
        <v/>
      </c>
      <c r="M174" s="15">
        <f>IF(A174="","",SUMIFS(Начисления!$M$2:$M$1000,Начисления!$F$2:$F$1000,A174))</f>
        <v/>
      </c>
      <c r="N174" s="15">
        <f>IF(A174="","",SUM(K174:M174))</f>
        <v/>
      </c>
      <c r="O174" s="14" t="n"/>
      <c r="P174" s="15">
        <f>IF(A174="","",N174-O174)</f>
        <v/>
      </c>
      <c r="Q174" s="10" t="n"/>
      <c r="R174" s="10" t="n"/>
      <c r="S174" s="16">
        <f>IF(ISNUMBER(D174),D174+TIME(3,0,0),"")</f>
        <v/>
      </c>
      <c r="T174" s="10" t="n"/>
      <c r="U174" s="17">
        <f>IF(OR(B174="",COUNT(D174:E174)&lt;2,E174&lt;D174,F174="Отменена"),0,MAX(0,MIN(E174,Сводка!$B$4)-MAX(D174,Сводка!$B$2)))</f>
        <v/>
      </c>
    </row>
    <row r="175">
      <c r="A175" s="9" t="n"/>
      <c r="B175" s="10" t="n"/>
      <c r="C175" s="10" t="n"/>
      <c r="D175" s="11" t="n"/>
      <c r="E175" s="11" t="n"/>
      <c r="F175" s="10" t="n"/>
      <c r="G175" s="12">
        <f>IF(B175="","",IF(OR(COUNT(D175:E175)&lt;2,E175&lt;D175),"Проверьте даты",IF(OR(F175="Отменена",F175="Возвращена"),"",IF(SUMPRODUCT(($B$2:$B$500=B175)*($D$2:$D$500&lt;=E175)*($E$2:$E$500&gt;=D175)*($F$2:$F$500&lt;&gt;"Отменена")*($F$2:$F$500&lt;&gt;"Возвращена"))&gt;1,"Пересечение","ОК"))))</f>
        <v/>
      </c>
      <c r="H175" s="12">
        <f>IF(OR(B175="",D175=""),"",IF(AND(OR(F175="Выдана",F175="Возвращена"),SUMPRODUCT(($B$2:$B$500=B175)*($D$2:$D$500=D175)*(($F$2:$F$500="Выдана")+($F$2:$F$500="Возвращена")))&gt;1),"Дубль",""))</f>
        <v/>
      </c>
      <c r="I175" s="13">
        <f>IF(OR(B175="",COUNT(D175:E175)&lt;2,E175&lt;D175),"",IF(Настройки!$B$6=Настройки!$M$3,INT(E175)-INT(D175)+1,ROUNDUP(ROUND((E175-D175)*24,2)/24,0)))</f>
        <v/>
      </c>
      <c r="J175" s="14" t="n"/>
      <c r="K175" s="15">
        <f>IF(OR(I175="",J175=""),"",IF(F175="Отменена",0,ROUND(I175*J175,2)))</f>
        <v/>
      </c>
      <c r="L175" s="15">
        <f>IF(K175="","",ROUND(K175*Настройки!$B$5,2))</f>
        <v/>
      </c>
      <c r="M175" s="15">
        <f>IF(A175="","",SUMIFS(Начисления!$M$2:$M$1000,Начисления!$F$2:$F$1000,A175))</f>
        <v/>
      </c>
      <c r="N175" s="15">
        <f>IF(A175="","",SUM(K175:M175))</f>
        <v/>
      </c>
      <c r="O175" s="14" t="n"/>
      <c r="P175" s="15">
        <f>IF(A175="","",N175-O175)</f>
        <v/>
      </c>
      <c r="Q175" s="10" t="n"/>
      <c r="R175" s="10" t="n"/>
      <c r="S175" s="16">
        <f>IF(ISNUMBER(D175),D175+TIME(3,0,0),"")</f>
        <v/>
      </c>
      <c r="T175" s="10" t="n"/>
      <c r="U175" s="17">
        <f>IF(OR(B175="",COUNT(D175:E175)&lt;2,E175&lt;D175,F175="Отменена"),0,MAX(0,MIN(E175,Сводка!$B$4)-MAX(D175,Сводка!$B$2)))</f>
        <v/>
      </c>
    </row>
    <row r="176">
      <c r="A176" s="9" t="n"/>
      <c r="B176" s="10" t="n"/>
      <c r="C176" s="10" t="n"/>
      <c r="D176" s="11" t="n"/>
      <c r="E176" s="11" t="n"/>
      <c r="F176" s="10" t="n"/>
      <c r="G176" s="12">
        <f>IF(B176="","",IF(OR(COUNT(D176:E176)&lt;2,E176&lt;D176),"Проверьте даты",IF(OR(F176="Отменена",F176="Возвращена"),"",IF(SUMPRODUCT(($B$2:$B$500=B176)*($D$2:$D$500&lt;=E176)*($E$2:$E$500&gt;=D176)*($F$2:$F$500&lt;&gt;"Отменена")*($F$2:$F$500&lt;&gt;"Возвращена"))&gt;1,"Пересечение","ОК"))))</f>
        <v/>
      </c>
      <c r="H176" s="12">
        <f>IF(OR(B176="",D176=""),"",IF(AND(OR(F176="Выдана",F176="Возвращена"),SUMPRODUCT(($B$2:$B$500=B176)*($D$2:$D$500=D176)*(($F$2:$F$500="Выдана")+($F$2:$F$500="Возвращена")))&gt;1),"Дубль",""))</f>
        <v/>
      </c>
      <c r="I176" s="13">
        <f>IF(OR(B176="",COUNT(D176:E176)&lt;2,E176&lt;D176),"",IF(Настройки!$B$6=Настройки!$M$3,INT(E176)-INT(D176)+1,ROUNDUP(ROUND((E176-D176)*24,2)/24,0)))</f>
        <v/>
      </c>
      <c r="J176" s="14" t="n"/>
      <c r="K176" s="15">
        <f>IF(OR(I176="",J176=""),"",IF(F176="Отменена",0,ROUND(I176*J176,2)))</f>
        <v/>
      </c>
      <c r="L176" s="15">
        <f>IF(K176="","",ROUND(K176*Настройки!$B$5,2))</f>
        <v/>
      </c>
      <c r="M176" s="15">
        <f>IF(A176="","",SUMIFS(Начисления!$M$2:$M$1000,Начисления!$F$2:$F$1000,A176))</f>
        <v/>
      </c>
      <c r="N176" s="15">
        <f>IF(A176="","",SUM(K176:M176))</f>
        <v/>
      </c>
      <c r="O176" s="14" t="n"/>
      <c r="P176" s="15">
        <f>IF(A176="","",N176-O176)</f>
        <v/>
      </c>
      <c r="Q176" s="10" t="n"/>
      <c r="R176" s="10" t="n"/>
      <c r="S176" s="16">
        <f>IF(ISNUMBER(D176),D176+TIME(3,0,0),"")</f>
        <v/>
      </c>
      <c r="T176" s="10" t="n"/>
      <c r="U176" s="17">
        <f>IF(OR(B176="",COUNT(D176:E176)&lt;2,E176&lt;D176,F176="Отменена"),0,MAX(0,MIN(E176,Сводка!$B$4)-MAX(D176,Сводка!$B$2)))</f>
        <v/>
      </c>
    </row>
    <row r="177">
      <c r="A177" s="9" t="n"/>
      <c r="B177" s="10" t="n"/>
      <c r="C177" s="10" t="n"/>
      <c r="D177" s="11" t="n"/>
      <c r="E177" s="11" t="n"/>
      <c r="F177" s="10" t="n"/>
      <c r="G177" s="12">
        <f>IF(B177="","",IF(OR(COUNT(D177:E177)&lt;2,E177&lt;D177),"Проверьте даты",IF(OR(F177="Отменена",F177="Возвращена"),"",IF(SUMPRODUCT(($B$2:$B$500=B177)*($D$2:$D$500&lt;=E177)*($E$2:$E$500&gt;=D177)*($F$2:$F$500&lt;&gt;"Отменена")*($F$2:$F$500&lt;&gt;"Возвращена"))&gt;1,"Пересечение","ОК"))))</f>
        <v/>
      </c>
      <c r="H177" s="12">
        <f>IF(OR(B177="",D177=""),"",IF(AND(OR(F177="Выдана",F177="Возвращена"),SUMPRODUCT(($B$2:$B$500=B177)*($D$2:$D$500=D177)*(($F$2:$F$500="Выдана")+($F$2:$F$500="Возвращена")))&gt;1),"Дубль",""))</f>
        <v/>
      </c>
      <c r="I177" s="13">
        <f>IF(OR(B177="",COUNT(D177:E177)&lt;2,E177&lt;D177),"",IF(Настройки!$B$6=Настройки!$M$3,INT(E177)-INT(D177)+1,ROUNDUP(ROUND((E177-D177)*24,2)/24,0)))</f>
        <v/>
      </c>
      <c r="J177" s="14" t="n"/>
      <c r="K177" s="15">
        <f>IF(OR(I177="",J177=""),"",IF(F177="Отменена",0,ROUND(I177*J177,2)))</f>
        <v/>
      </c>
      <c r="L177" s="15">
        <f>IF(K177="","",ROUND(K177*Настройки!$B$5,2))</f>
        <v/>
      </c>
      <c r="M177" s="15">
        <f>IF(A177="","",SUMIFS(Начисления!$M$2:$M$1000,Начисления!$F$2:$F$1000,A177))</f>
        <v/>
      </c>
      <c r="N177" s="15">
        <f>IF(A177="","",SUM(K177:M177))</f>
        <v/>
      </c>
      <c r="O177" s="14" t="n"/>
      <c r="P177" s="15">
        <f>IF(A177="","",N177-O177)</f>
        <v/>
      </c>
      <c r="Q177" s="10" t="n"/>
      <c r="R177" s="10" t="n"/>
      <c r="S177" s="16">
        <f>IF(ISNUMBER(D177),D177+TIME(3,0,0),"")</f>
        <v/>
      </c>
      <c r="T177" s="10" t="n"/>
      <c r="U177" s="17">
        <f>IF(OR(B177="",COUNT(D177:E177)&lt;2,E177&lt;D177,F177="Отменена"),0,MAX(0,MIN(E177,Сводка!$B$4)-MAX(D177,Сводка!$B$2)))</f>
        <v/>
      </c>
    </row>
    <row r="178">
      <c r="A178" s="9" t="n"/>
      <c r="B178" s="10" t="n"/>
      <c r="C178" s="10" t="n"/>
      <c r="D178" s="11" t="n"/>
      <c r="E178" s="11" t="n"/>
      <c r="F178" s="10" t="n"/>
      <c r="G178" s="12">
        <f>IF(B178="","",IF(OR(COUNT(D178:E178)&lt;2,E178&lt;D178),"Проверьте даты",IF(OR(F178="Отменена",F178="Возвращена"),"",IF(SUMPRODUCT(($B$2:$B$500=B178)*($D$2:$D$500&lt;=E178)*($E$2:$E$500&gt;=D178)*($F$2:$F$500&lt;&gt;"Отменена")*($F$2:$F$500&lt;&gt;"Возвращена"))&gt;1,"Пересечение","ОК"))))</f>
        <v/>
      </c>
      <c r="H178" s="12">
        <f>IF(OR(B178="",D178=""),"",IF(AND(OR(F178="Выдана",F178="Возвращена"),SUMPRODUCT(($B$2:$B$500=B178)*($D$2:$D$500=D178)*(($F$2:$F$500="Выдана")+($F$2:$F$500="Возвращена")))&gt;1),"Дубль",""))</f>
        <v/>
      </c>
      <c r="I178" s="13">
        <f>IF(OR(B178="",COUNT(D178:E178)&lt;2,E178&lt;D178),"",IF(Настройки!$B$6=Настройки!$M$3,INT(E178)-INT(D178)+1,ROUNDUP(ROUND((E178-D178)*24,2)/24,0)))</f>
        <v/>
      </c>
      <c r="J178" s="14" t="n"/>
      <c r="K178" s="15">
        <f>IF(OR(I178="",J178=""),"",IF(F178="Отменена",0,ROUND(I178*J178,2)))</f>
        <v/>
      </c>
      <c r="L178" s="15">
        <f>IF(K178="","",ROUND(K178*Настройки!$B$5,2))</f>
        <v/>
      </c>
      <c r="M178" s="15">
        <f>IF(A178="","",SUMIFS(Начисления!$M$2:$M$1000,Начисления!$F$2:$F$1000,A178))</f>
        <v/>
      </c>
      <c r="N178" s="15">
        <f>IF(A178="","",SUM(K178:M178))</f>
        <v/>
      </c>
      <c r="O178" s="14" t="n"/>
      <c r="P178" s="15">
        <f>IF(A178="","",N178-O178)</f>
        <v/>
      </c>
      <c r="Q178" s="10" t="n"/>
      <c r="R178" s="10" t="n"/>
      <c r="S178" s="16">
        <f>IF(ISNUMBER(D178),D178+TIME(3,0,0),"")</f>
        <v/>
      </c>
      <c r="T178" s="10" t="n"/>
      <c r="U178" s="17">
        <f>IF(OR(B178="",COUNT(D178:E178)&lt;2,E178&lt;D178,F178="Отменена"),0,MAX(0,MIN(E178,Сводка!$B$4)-MAX(D178,Сводка!$B$2)))</f>
        <v/>
      </c>
    </row>
    <row r="179">
      <c r="A179" s="9" t="n"/>
      <c r="B179" s="10" t="n"/>
      <c r="C179" s="10" t="n"/>
      <c r="D179" s="11" t="n"/>
      <c r="E179" s="11" t="n"/>
      <c r="F179" s="10" t="n"/>
      <c r="G179" s="12">
        <f>IF(B179="","",IF(OR(COUNT(D179:E179)&lt;2,E179&lt;D179),"Проверьте даты",IF(OR(F179="Отменена",F179="Возвращена"),"",IF(SUMPRODUCT(($B$2:$B$500=B179)*($D$2:$D$500&lt;=E179)*($E$2:$E$500&gt;=D179)*($F$2:$F$500&lt;&gt;"Отменена")*($F$2:$F$500&lt;&gt;"Возвращена"))&gt;1,"Пересечение","ОК"))))</f>
        <v/>
      </c>
      <c r="H179" s="12">
        <f>IF(OR(B179="",D179=""),"",IF(AND(OR(F179="Выдана",F179="Возвращена"),SUMPRODUCT(($B$2:$B$500=B179)*($D$2:$D$500=D179)*(($F$2:$F$500="Выдана")+($F$2:$F$500="Возвращена")))&gt;1),"Дубль",""))</f>
        <v/>
      </c>
      <c r="I179" s="13">
        <f>IF(OR(B179="",COUNT(D179:E179)&lt;2,E179&lt;D179),"",IF(Настройки!$B$6=Настройки!$M$3,INT(E179)-INT(D179)+1,ROUNDUP(ROUND((E179-D179)*24,2)/24,0)))</f>
        <v/>
      </c>
      <c r="J179" s="14" t="n"/>
      <c r="K179" s="15">
        <f>IF(OR(I179="",J179=""),"",IF(F179="Отменена",0,ROUND(I179*J179,2)))</f>
        <v/>
      </c>
      <c r="L179" s="15">
        <f>IF(K179="","",ROUND(K179*Настройки!$B$5,2))</f>
        <v/>
      </c>
      <c r="M179" s="15">
        <f>IF(A179="","",SUMIFS(Начисления!$M$2:$M$1000,Начисления!$F$2:$F$1000,A179))</f>
        <v/>
      </c>
      <c r="N179" s="15">
        <f>IF(A179="","",SUM(K179:M179))</f>
        <v/>
      </c>
      <c r="O179" s="14" t="n"/>
      <c r="P179" s="15">
        <f>IF(A179="","",N179-O179)</f>
        <v/>
      </c>
      <c r="Q179" s="10" t="n"/>
      <c r="R179" s="10" t="n"/>
      <c r="S179" s="16">
        <f>IF(ISNUMBER(D179),D179+TIME(3,0,0),"")</f>
        <v/>
      </c>
      <c r="T179" s="10" t="n"/>
      <c r="U179" s="17">
        <f>IF(OR(B179="",COUNT(D179:E179)&lt;2,E179&lt;D179,F179="Отменена"),0,MAX(0,MIN(E179,Сводка!$B$4)-MAX(D179,Сводка!$B$2)))</f>
        <v/>
      </c>
    </row>
    <row r="180">
      <c r="A180" s="9" t="n"/>
      <c r="B180" s="10" t="n"/>
      <c r="C180" s="10" t="n"/>
      <c r="D180" s="11" t="n"/>
      <c r="E180" s="11" t="n"/>
      <c r="F180" s="10" t="n"/>
      <c r="G180" s="12">
        <f>IF(B180="","",IF(OR(COUNT(D180:E180)&lt;2,E180&lt;D180),"Проверьте даты",IF(OR(F180="Отменена",F180="Возвращена"),"",IF(SUMPRODUCT(($B$2:$B$500=B180)*($D$2:$D$500&lt;=E180)*($E$2:$E$500&gt;=D180)*($F$2:$F$500&lt;&gt;"Отменена")*($F$2:$F$500&lt;&gt;"Возвращена"))&gt;1,"Пересечение","ОК"))))</f>
        <v/>
      </c>
      <c r="H180" s="12">
        <f>IF(OR(B180="",D180=""),"",IF(AND(OR(F180="Выдана",F180="Возвращена"),SUMPRODUCT(($B$2:$B$500=B180)*($D$2:$D$500=D180)*(($F$2:$F$500="Выдана")+($F$2:$F$500="Возвращена")))&gt;1),"Дубль",""))</f>
        <v/>
      </c>
      <c r="I180" s="13">
        <f>IF(OR(B180="",COUNT(D180:E180)&lt;2,E180&lt;D180),"",IF(Настройки!$B$6=Настройки!$M$3,INT(E180)-INT(D180)+1,ROUNDUP(ROUND((E180-D180)*24,2)/24,0)))</f>
        <v/>
      </c>
      <c r="J180" s="14" t="n"/>
      <c r="K180" s="15">
        <f>IF(OR(I180="",J180=""),"",IF(F180="Отменена",0,ROUND(I180*J180,2)))</f>
        <v/>
      </c>
      <c r="L180" s="15">
        <f>IF(K180="","",ROUND(K180*Настройки!$B$5,2))</f>
        <v/>
      </c>
      <c r="M180" s="15">
        <f>IF(A180="","",SUMIFS(Начисления!$M$2:$M$1000,Начисления!$F$2:$F$1000,A180))</f>
        <v/>
      </c>
      <c r="N180" s="15">
        <f>IF(A180="","",SUM(K180:M180))</f>
        <v/>
      </c>
      <c r="O180" s="14" t="n"/>
      <c r="P180" s="15">
        <f>IF(A180="","",N180-O180)</f>
        <v/>
      </c>
      <c r="Q180" s="10" t="n"/>
      <c r="R180" s="10" t="n"/>
      <c r="S180" s="16">
        <f>IF(ISNUMBER(D180),D180+TIME(3,0,0),"")</f>
        <v/>
      </c>
      <c r="T180" s="10" t="n"/>
      <c r="U180" s="17">
        <f>IF(OR(B180="",COUNT(D180:E180)&lt;2,E180&lt;D180,F180="Отменена"),0,MAX(0,MIN(E180,Сводка!$B$4)-MAX(D180,Сводка!$B$2)))</f>
        <v/>
      </c>
    </row>
    <row r="181">
      <c r="A181" s="9" t="n"/>
      <c r="B181" s="10" t="n"/>
      <c r="C181" s="10" t="n"/>
      <c r="D181" s="11" t="n"/>
      <c r="E181" s="11" t="n"/>
      <c r="F181" s="10" t="n"/>
      <c r="G181" s="12">
        <f>IF(B181="","",IF(OR(COUNT(D181:E181)&lt;2,E181&lt;D181),"Проверьте даты",IF(OR(F181="Отменена",F181="Возвращена"),"",IF(SUMPRODUCT(($B$2:$B$500=B181)*($D$2:$D$500&lt;=E181)*($E$2:$E$500&gt;=D181)*($F$2:$F$500&lt;&gt;"Отменена")*($F$2:$F$500&lt;&gt;"Возвращена"))&gt;1,"Пересечение","ОК"))))</f>
        <v/>
      </c>
      <c r="H181" s="12">
        <f>IF(OR(B181="",D181=""),"",IF(AND(OR(F181="Выдана",F181="Возвращена"),SUMPRODUCT(($B$2:$B$500=B181)*($D$2:$D$500=D181)*(($F$2:$F$500="Выдана")+($F$2:$F$500="Возвращена")))&gt;1),"Дубль",""))</f>
        <v/>
      </c>
      <c r="I181" s="13">
        <f>IF(OR(B181="",COUNT(D181:E181)&lt;2,E181&lt;D181),"",IF(Настройки!$B$6=Настройки!$M$3,INT(E181)-INT(D181)+1,ROUNDUP(ROUND((E181-D181)*24,2)/24,0)))</f>
        <v/>
      </c>
      <c r="J181" s="14" t="n"/>
      <c r="K181" s="15">
        <f>IF(OR(I181="",J181=""),"",IF(F181="Отменена",0,ROUND(I181*J181,2)))</f>
        <v/>
      </c>
      <c r="L181" s="15">
        <f>IF(K181="","",ROUND(K181*Настройки!$B$5,2))</f>
        <v/>
      </c>
      <c r="M181" s="15">
        <f>IF(A181="","",SUMIFS(Начисления!$M$2:$M$1000,Начисления!$F$2:$F$1000,A181))</f>
        <v/>
      </c>
      <c r="N181" s="15">
        <f>IF(A181="","",SUM(K181:M181))</f>
        <v/>
      </c>
      <c r="O181" s="14" t="n"/>
      <c r="P181" s="15">
        <f>IF(A181="","",N181-O181)</f>
        <v/>
      </c>
      <c r="Q181" s="10" t="n"/>
      <c r="R181" s="10" t="n"/>
      <c r="S181" s="16">
        <f>IF(ISNUMBER(D181),D181+TIME(3,0,0),"")</f>
        <v/>
      </c>
      <c r="T181" s="10" t="n"/>
      <c r="U181" s="17">
        <f>IF(OR(B181="",COUNT(D181:E181)&lt;2,E181&lt;D181,F181="Отменена"),0,MAX(0,MIN(E181,Сводка!$B$4)-MAX(D181,Сводка!$B$2)))</f>
        <v/>
      </c>
    </row>
    <row r="182">
      <c r="A182" s="9" t="n"/>
      <c r="B182" s="10" t="n"/>
      <c r="C182" s="10" t="n"/>
      <c r="D182" s="11" t="n"/>
      <c r="E182" s="11" t="n"/>
      <c r="F182" s="10" t="n"/>
      <c r="G182" s="12">
        <f>IF(B182="","",IF(OR(COUNT(D182:E182)&lt;2,E182&lt;D182),"Проверьте даты",IF(OR(F182="Отменена",F182="Возвращена"),"",IF(SUMPRODUCT(($B$2:$B$500=B182)*($D$2:$D$500&lt;=E182)*($E$2:$E$500&gt;=D182)*($F$2:$F$500&lt;&gt;"Отменена")*($F$2:$F$500&lt;&gt;"Возвращена"))&gt;1,"Пересечение","ОК"))))</f>
        <v/>
      </c>
      <c r="H182" s="12">
        <f>IF(OR(B182="",D182=""),"",IF(AND(OR(F182="Выдана",F182="Возвращена"),SUMPRODUCT(($B$2:$B$500=B182)*($D$2:$D$500=D182)*(($F$2:$F$500="Выдана")+($F$2:$F$500="Возвращена")))&gt;1),"Дубль",""))</f>
        <v/>
      </c>
      <c r="I182" s="13">
        <f>IF(OR(B182="",COUNT(D182:E182)&lt;2,E182&lt;D182),"",IF(Настройки!$B$6=Настройки!$M$3,INT(E182)-INT(D182)+1,ROUNDUP(ROUND((E182-D182)*24,2)/24,0)))</f>
        <v/>
      </c>
      <c r="J182" s="14" t="n"/>
      <c r="K182" s="15">
        <f>IF(OR(I182="",J182=""),"",IF(F182="Отменена",0,ROUND(I182*J182,2)))</f>
        <v/>
      </c>
      <c r="L182" s="15">
        <f>IF(K182="","",ROUND(K182*Настройки!$B$5,2))</f>
        <v/>
      </c>
      <c r="M182" s="15">
        <f>IF(A182="","",SUMIFS(Начисления!$M$2:$M$1000,Начисления!$F$2:$F$1000,A182))</f>
        <v/>
      </c>
      <c r="N182" s="15">
        <f>IF(A182="","",SUM(K182:M182))</f>
        <v/>
      </c>
      <c r="O182" s="14" t="n"/>
      <c r="P182" s="15">
        <f>IF(A182="","",N182-O182)</f>
        <v/>
      </c>
      <c r="Q182" s="10" t="n"/>
      <c r="R182" s="10" t="n"/>
      <c r="S182" s="16">
        <f>IF(ISNUMBER(D182),D182+TIME(3,0,0),"")</f>
        <v/>
      </c>
      <c r="T182" s="10" t="n"/>
      <c r="U182" s="17">
        <f>IF(OR(B182="",COUNT(D182:E182)&lt;2,E182&lt;D182,F182="Отменена"),0,MAX(0,MIN(E182,Сводка!$B$4)-MAX(D182,Сводка!$B$2)))</f>
        <v/>
      </c>
    </row>
    <row r="183">
      <c r="A183" s="9" t="n"/>
      <c r="B183" s="10" t="n"/>
      <c r="C183" s="10" t="n"/>
      <c r="D183" s="11" t="n"/>
      <c r="E183" s="11" t="n"/>
      <c r="F183" s="10" t="n"/>
      <c r="G183" s="12">
        <f>IF(B183="","",IF(OR(COUNT(D183:E183)&lt;2,E183&lt;D183),"Проверьте даты",IF(OR(F183="Отменена",F183="Возвращена"),"",IF(SUMPRODUCT(($B$2:$B$500=B183)*($D$2:$D$500&lt;=E183)*($E$2:$E$500&gt;=D183)*($F$2:$F$500&lt;&gt;"Отменена")*($F$2:$F$500&lt;&gt;"Возвращена"))&gt;1,"Пересечение","ОК"))))</f>
        <v/>
      </c>
      <c r="H183" s="12">
        <f>IF(OR(B183="",D183=""),"",IF(AND(OR(F183="Выдана",F183="Возвращена"),SUMPRODUCT(($B$2:$B$500=B183)*($D$2:$D$500=D183)*(($F$2:$F$500="Выдана")+($F$2:$F$500="Возвращена")))&gt;1),"Дубль",""))</f>
        <v/>
      </c>
      <c r="I183" s="13">
        <f>IF(OR(B183="",COUNT(D183:E183)&lt;2,E183&lt;D183),"",IF(Настройки!$B$6=Настройки!$M$3,INT(E183)-INT(D183)+1,ROUNDUP(ROUND((E183-D183)*24,2)/24,0)))</f>
        <v/>
      </c>
      <c r="J183" s="14" t="n"/>
      <c r="K183" s="15">
        <f>IF(OR(I183="",J183=""),"",IF(F183="Отменена",0,ROUND(I183*J183,2)))</f>
        <v/>
      </c>
      <c r="L183" s="15">
        <f>IF(K183="","",ROUND(K183*Настройки!$B$5,2))</f>
        <v/>
      </c>
      <c r="M183" s="15">
        <f>IF(A183="","",SUMIFS(Начисления!$M$2:$M$1000,Начисления!$F$2:$F$1000,A183))</f>
        <v/>
      </c>
      <c r="N183" s="15">
        <f>IF(A183="","",SUM(K183:M183))</f>
        <v/>
      </c>
      <c r="O183" s="14" t="n"/>
      <c r="P183" s="15">
        <f>IF(A183="","",N183-O183)</f>
        <v/>
      </c>
      <c r="Q183" s="10" t="n"/>
      <c r="R183" s="10" t="n"/>
      <c r="S183" s="16">
        <f>IF(ISNUMBER(D183),D183+TIME(3,0,0),"")</f>
        <v/>
      </c>
      <c r="T183" s="10" t="n"/>
      <c r="U183" s="17">
        <f>IF(OR(B183="",COUNT(D183:E183)&lt;2,E183&lt;D183,F183="Отменена"),0,MAX(0,MIN(E183,Сводка!$B$4)-MAX(D183,Сводка!$B$2)))</f>
        <v/>
      </c>
    </row>
    <row r="184">
      <c r="A184" s="9" t="n"/>
      <c r="B184" s="10" t="n"/>
      <c r="C184" s="10" t="n"/>
      <c r="D184" s="11" t="n"/>
      <c r="E184" s="11" t="n"/>
      <c r="F184" s="10" t="n"/>
      <c r="G184" s="12">
        <f>IF(B184="","",IF(OR(COUNT(D184:E184)&lt;2,E184&lt;D184),"Проверьте даты",IF(OR(F184="Отменена",F184="Возвращена"),"",IF(SUMPRODUCT(($B$2:$B$500=B184)*($D$2:$D$500&lt;=E184)*($E$2:$E$500&gt;=D184)*($F$2:$F$500&lt;&gt;"Отменена")*($F$2:$F$500&lt;&gt;"Возвращена"))&gt;1,"Пересечение","ОК"))))</f>
        <v/>
      </c>
      <c r="H184" s="12">
        <f>IF(OR(B184="",D184=""),"",IF(AND(OR(F184="Выдана",F184="Возвращена"),SUMPRODUCT(($B$2:$B$500=B184)*($D$2:$D$500=D184)*(($F$2:$F$500="Выдана")+($F$2:$F$500="Возвращена")))&gt;1),"Дубль",""))</f>
        <v/>
      </c>
      <c r="I184" s="13">
        <f>IF(OR(B184="",COUNT(D184:E184)&lt;2,E184&lt;D184),"",IF(Настройки!$B$6=Настройки!$M$3,INT(E184)-INT(D184)+1,ROUNDUP(ROUND((E184-D184)*24,2)/24,0)))</f>
        <v/>
      </c>
      <c r="J184" s="14" t="n"/>
      <c r="K184" s="15">
        <f>IF(OR(I184="",J184=""),"",IF(F184="Отменена",0,ROUND(I184*J184,2)))</f>
        <v/>
      </c>
      <c r="L184" s="15">
        <f>IF(K184="","",ROUND(K184*Настройки!$B$5,2))</f>
        <v/>
      </c>
      <c r="M184" s="15">
        <f>IF(A184="","",SUMIFS(Начисления!$M$2:$M$1000,Начисления!$F$2:$F$1000,A184))</f>
        <v/>
      </c>
      <c r="N184" s="15">
        <f>IF(A184="","",SUM(K184:M184))</f>
        <v/>
      </c>
      <c r="O184" s="14" t="n"/>
      <c r="P184" s="15">
        <f>IF(A184="","",N184-O184)</f>
        <v/>
      </c>
      <c r="Q184" s="10" t="n"/>
      <c r="R184" s="10" t="n"/>
      <c r="S184" s="16">
        <f>IF(ISNUMBER(D184),D184+TIME(3,0,0),"")</f>
        <v/>
      </c>
      <c r="T184" s="10" t="n"/>
      <c r="U184" s="17">
        <f>IF(OR(B184="",COUNT(D184:E184)&lt;2,E184&lt;D184,F184="Отменена"),0,MAX(0,MIN(E184,Сводка!$B$4)-MAX(D184,Сводка!$B$2)))</f>
        <v/>
      </c>
    </row>
    <row r="185">
      <c r="A185" s="9" t="n"/>
      <c r="B185" s="10" t="n"/>
      <c r="C185" s="10" t="n"/>
      <c r="D185" s="11" t="n"/>
      <c r="E185" s="11" t="n"/>
      <c r="F185" s="10" t="n"/>
      <c r="G185" s="12">
        <f>IF(B185="","",IF(OR(COUNT(D185:E185)&lt;2,E185&lt;D185),"Проверьте даты",IF(OR(F185="Отменена",F185="Возвращена"),"",IF(SUMPRODUCT(($B$2:$B$500=B185)*($D$2:$D$500&lt;=E185)*($E$2:$E$500&gt;=D185)*($F$2:$F$500&lt;&gt;"Отменена")*($F$2:$F$500&lt;&gt;"Возвращена"))&gt;1,"Пересечение","ОК"))))</f>
        <v/>
      </c>
      <c r="H185" s="12">
        <f>IF(OR(B185="",D185=""),"",IF(AND(OR(F185="Выдана",F185="Возвращена"),SUMPRODUCT(($B$2:$B$500=B185)*($D$2:$D$500=D185)*(($F$2:$F$500="Выдана")+($F$2:$F$500="Возвращена")))&gt;1),"Дубль",""))</f>
        <v/>
      </c>
      <c r="I185" s="13">
        <f>IF(OR(B185="",COUNT(D185:E185)&lt;2,E185&lt;D185),"",IF(Настройки!$B$6=Настройки!$M$3,INT(E185)-INT(D185)+1,ROUNDUP(ROUND((E185-D185)*24,2)/24,0)))</f>
        <v/>
      </c>
      <c r="J185" s="14" t="n"/>
      <c r="K185" s="15">
        <f>IF(OR(I185="",J185=""),"",IF(F185="Отменена",0,ROUND(I185*J185,2)))</f>
        <v/>
      </c>
      <c r="L185" s="15">
        <f>IF(K185="","",ROUND(K185*Настройки!$B$5,2))</f>
        <v/>
      </c>
      <c r="M185" s="15">
        <f>IF(A185="","",SUMIFS(Начисления!$M$2:$M$1000,Начисления!$F$2:$F$1000,A185))</f>
        <v/>
      </c>
      <c r="N185" s="15">
        <f>IF(A185="","",SUM(K185:M185))</f>
        <v/>
      </c>
      <c r="O185" s="14" t="n"/>
      <c r="P185" s="15">
        <f>IF(A185="","",N185-O185)</f>
        <v/>
      </c>
      <c r="Q185" s="10" t="n"/>
      <c r="R185" s="10" t="n"/>
      <c r="S185" s="16">
        <f>IF(ISNUMBER(D185),D185+TIME(3,0,0),"")</f>
        <v/>
      </c>
      <c r="T185" s="10" t="n"/>
      <c r="U185" s="17">
        <f>IF(OR(B185="",COUNT(D185:E185)&lt;2,E185&lt;D185,F185="Отменена"),0,MAX(0,MIN(E185,Сводка!$B$4)-MAX(D185,Сводка!$B$2)))</f>
        <v/>
      </c>
    </row>
    <row r="186">
      <c r="A186" s="9" t="n"/>
      <c r="B186" s="10" t="n"/>
      <c r="C186" s="10" t="n"/>
      <c r="D186" s="11" t="n"/>
      <c r="E186" s="11" t="n"/>
      <c r="F186" s="10" t="n"/>
      <c r="G186" s="12">
        <f>IF(B186="","",IF(OR(COUNT(D186:E186)&lt;2,E186&lt;D186),"Проверьте даты",IF(OR(F186="Отменена",F186="Возвращена"),"",IF(SUMPRODUCT(($B$2:$B$500=B186)*($D$2:$D$500&lt;=E186)*($E$2:$E$500&gt;=D186)*($F$2:$F$500&lt;&gt;"Отменена")*($F$2:$F$500&lt;&gt;"Возвращена"))&gt;1,"Пересечение","ОК"))))</f>
        <v/>
      </c>
      <c r="H186" s="12">
        <f>IF(OR(B186="",D186=""),"",IF(AND(OR(F186="Выдана",F186="Возвращена"),SUMPRODUCT(($B$2:$B$500=B186)*($D$2:$D$500=D186)*(($F$2:$F$500="Выдана")+($F$2:$F$500="Возвращена")))&gt;1),"Дубль",""))</f>
        <v/>
      </c>
      <c r="I186" s="13">
        <f>IF(OR(B186="",COUNT(D186:E186)&lt;2,E186&lt;D186),"",IF(Настройки!$B$6=Настройки!$M$3,INT(E186)-INT(D186)+1,ROUNDUP(ROUND((E186-D186)*24,2)/24,0)))</f>
        <v/>
      </c>
      <c r="J186" s="14" t="n"/>
      <c r="K186" s="15">
        <f>IF(OR(I186="",J186=""),"",IF(F186="Отменена",0,ROUND(I186*J186,2)))</f>
        <v/>
      </c>
      <c r="L186" s="15">
        <f>IF(K186="","",ROUND(K186*Настройки!$B$5,2))</f>
        <v/>
      </c>
      <c r="M186" s="15">
        <f>IF(A186="","",SUMIFS(Начисления!$M$2:$M$1000,Начисления!$F$2:$F$1000,A186))</f>
        <v/>
      </c>
      <c r="N186" s="15">
        <f>IF(A186="","",SUM(K186:M186))</f>
        <v/>
      </c>
      <c r="O186" s="14" t="n"/>
      <c r="P186" s="15">
        <f>IF(A186="","",N186-O186)</f>
        <v/>
      </c>
      <c r="Q186" s="10" t="n"/>
      <c r="R186" s="10" t="n"/>
      <c r="S186" s="16">
        <f>IF(ISNUMBER(D186),D186+TIME(3,0,0),"")</f>
        <v/>
      </c>
      <c r="T186" s="10" t="n"/>
      <c r="U186" s="17">
        <f>IF(OR(B186="",COUNT(D186:E186)&lt;2,E186&lt;D186,F186="Отменена"),0,MAX(0,MIN(E186,Сводка!$B$4)-MAX(D186,Сводка!$B$2)))</f>
        <v/>
      </c>
    </row>
    <row r="187">
      <c r="A187" s="9" t="n"/>
      <c r="B187" s="10" t="n"/>
      <c r="C187" s="10" t="n"/>
      <c r="D187" s="11" t="n"/>
      <c r="E187" s="11" t="n"/>
      <c r="F187" s="10" t="n"/>
      <c r="G187" s="12">
        <f>IF(B187="","",IF(OR(COUNT(D187:E187)&lt;2,E187&lt;D187),"Проверьте даты",IF(OR(F187="Отменена",F187="Возвращена"),"",IF(SUMPRODUCT(($B$2:$B$500=B187)*($D$2:$D$500&lt;=E187)*($E$2:$E$500&gt;=D187)*($F$2:$F$500&lt;&gt;"Отменена")*($F$2:$F$500&lt;&gt;"Возвращена"))&gt;1,"Пересечение","ОК"))))</f>
        <v/>
      </c>
      <c r="H187" s="12">
        <f>IF(OR(B187="",D187=""),"",IF(AND(OR(F187="Выдана",F187="Возвращена"),SUMPRODUCT(($B$2:$B$500=B187)*($D$2:$D$500=D187)*(($F$2:$F$500="Выдана")+($F$2:$F$500="Возвращена")))&gt;1),"Дубль",""))</f>
        <v/>
      </c>
      <c r="I187" s="13">
        <f>IF(OR(B187="",COUNT(D187:E187)&lt;2,E187&lt;D187),"",IF(Настройки!$B$6=Настройки!$M$3,INT(E187)-INT(D187)+1,ROUNDUP(ROUND((E187-D187)*24,2)/24,0)))</f>
        <v/>
      </c>
      <c r="J187" s="14" t="n"/>
      <c r="K187" s="15">
        <f>IF(OR(I187="",J187=""),"",IF(F187="Отменена",0,ROUND(I187*J187,2)))</f>
        <v/>
      </c>
      <c r="L187" s="15">
        <f>IF(K187="","",ROUND(K187*Настройки!$B$5,2))</f>
        <v/>
      </c>
      <c r="M187" s="15">
        <f>IF(A187="","",SUMIFS(Начисления!$M$2:$M$1000,Начисления!$F$2:$F$1000,A187))</f>
        <v/>
      </c>
      <c r="N187" s="15">
        <f>IF(A187="","",SUM(K187:M187))</f>
        <v/>
      </c>
      <c r="O187" s="14" t="n"/>
      <c r="P187" s="15">
        <f>IF(A187="","",N187-O187)</f>
        <v/>
      </c>
      <c r="Q187" s="10" t="n"/>
      <c r="R187" s="10" t="n"/>
      <c r="S187" s="16">
        <f>IF(ISNUMBER(D187),D187+TIME(3,0,0),"")</f>
        <v/>
      </c>
      <c r="T187" s="10" t="n"/>
      <c r="U187" s="17">
        <f>IF(OR(B187="",COUNT(D187:E187)&lt;2,E187&lt;D187,F187="Отменена"),0,MAX(0,MIN(E187,Сводка!$B$4)-MAX(D187,Сводка!$B$2)))</f>
        <v/>
      </c>
    </row>
    <row r="188">
      <c r="A188" s="9" t="n"/>
      <c r="B188" s="10" t="n"/>
      <c r="C188" s="10" t="n"/>
      <c r="D188" s="11" t="n"/>
      <c r="E188" s="11" t="n"/>
      <c r="F188" s="10" t="n"/>
      <c r="G188" s="12">
        <f>IF(B188="","",IF(OR(COUNT(D188:E188)&lt;2,E188&lt;D188),"Проверьте даты",IF(OR(F188="Отменена",F188="Возвращена"),"",IF(SUMPRODUCT(($B$2:$B$500=B188)*($D$2:$D$500&lt;=E188)*($E$2:$E$500&gt;=D188)*($F$2:$F$500&lt;&gt;"Отменена")*($F$2:$F$500&lt;&gt;"Возвращена"))&gt;1,"Пересечение","ОК"))))</f>
        <v/>
      </c>
      <c r="H188" s="12">
        <f>IF(OR(B188="",D188=""),"",IF(AND(OR(F188="Выдана",F188="Возвращена"),SUMPRODUCT(($B$2:$B$500=B188)*($D$2:$D$500=D188)*(($F$2:$F$500="Выдана")+($F$2:$F$500="Возвращена")))&gt;1),"Дубль",""))</f>
        <v/>
      </c>
      <c r="I188" s="13">
        <f>IF(OR(B188="",COUNT(D188:E188)&lt;2,E188&lt;D188),"",IF(Настройки!$B$6=Настройки!$M$3,INT(E188)-INT(D188)+1,ROUNDUP(ROUND((E188-D188)*24,2)/24,0)))</f>
        <v/>
      </c>
      <c r="J188" s="14" t="n"/>
      <c r="K188" s="15">
        <f>IF(OR(I188="",J188=""),"",IF(F188="Отменена",0,ROUND(I188*J188,2)))</f>
        <v/>
      </c>
      <c r="L188" s="15">
        <f>IF(K188="","",ROUND(K188*Настройки!$B$5,2))</f>
        <v/>
      </c>
      <c r="M188" s="15">
        <f>IF(A188="","",SUMIFS(Начисления!$M$2:$M$1000,Начисления!$F$2:$F$1000,A188))</f>
        <v/>
      </c>
      <c r="N188" s="15">
        <f>IF(A188="","",SUM(K188:M188))</f>
        <v/>
      </c>
      <c r="O188" s="14" t="n"/>
      <c r="P188" s="15">
        <f>IF(A188="","",N188-O188)</f>
        <v/>
      </c>
      <c r="Q188" s="10" t="n"/>
      <c r="R188" s="10" t="n"/>
      <c r="S188" s="16">
        <f>IF(ISNUMBER(D188),D188+TIME(3,0,0),"")</f>
        <v/>
      </c>
      <c r="T188" s="10" t="n"/>
      <c r="U188" s="17">
        <f>IF(OR(B188="",COUNT(D188:E188)&lt;2,E188&lt;D188,F188="Отменена"),0,MAX(0,MIN(E188,Сводка!$B$4)-MAX(D188,Сводка!$B$2)))</f>
        <v/>
      </c>
    </row>
    <row r="189">
      <c r="A189" s="9" t="n"/>
      <c r="B189" s="10" t="n"/>
      <c r="C189" s="10" t="n"/>
      <c r="D189" s="11" t="n"/>
      <c r="E189" s="11" t="n"/>
      <c r="F189" s="10" t="n"/>
      <c r="G189" s="12">
        <f>IF(B189="","",IF(OR(COUNT(D189:E189)&lt;2,E189&lt;D189),"Проверьте даты",IF(OR(F189="Отменена",F189="Возвращена"),"",IF(SUMPRODUCT(($B$2:$B$500=B189)*($D$2:$D$500&lt;=E189)*($E$2:$E$500&gt;=D189)*($F$2:$F$500&lt;&gt;"Отменена")*($F$2:$F$500&lt;&gt;"Возвращена"))&gt;1,"Пересечение","ОК"))))</f>
        <v/>
      </c>
      <c r="H189" s="12">
        <f>IF(OR(B189="",D189=""),"",IF(AND(OR(F189="Выдана",F189="Возвращена"),SUMPRODUCT(($B$2:$B$500=B189)*($D$2:$D$500=D189)*(($F$2:$F$500="Выдана")+($F$2:$F$500="Возвращена")))&gt;1),"Дубль",""))</f>
        <v/>
      </c>
      <c r="I189" s="13">
        <f>IF(OR(B189="",COUNT(D189:E189)&lt;2,E189&lt;D189),"",IF(Настройки!$B$6=Настройки!$M$3,INT(E189)-INT(D189)+1,ROUNDUP(ROUND((E189-D189)*24,2)/24,0)))</f>
        <v/>
      </c>
      <c r="J189" s="14" t="n"/>
      <c r="K189" s="15">
        <f>IF(OR(I189="",J189=""),"",IF(F189="Отменена",0,ROUND(I189*J189,2)))</f>
        <v/>
      </c>
      <c r="L189" s="15">
        <f>IF(K189="","",ROUND(K189*Настройки!$B$5,2))</f>
        <v/>
      </c>
      <c r="M189" s="15">
        <f>IF(A189="","",SUMIFS(Начисления!$M$2:$M$1000,Начисления!$F$2:$F$1000,A189))</f>
        <v/>
      </c>
      <c r="N189" s="15">
        <f>IF(A189="","",SUM(K189:M189))</f>
        <v/>
      </c>
      <c r="O189" s="14" t="n"/>
      <c r="P189" s="15">
        <f>IF(A189="","",N189-O189)</f>
        <v/>
      </c>
      <c r="Q189" s="10" t="n"/>
      <c r="R189" s="10" t="n"/>
      <c r="S189" s="16">
        <f>IF(ISNUMBER(D189),D189+TIME(3,0,0),"")</f>
        <v/>
      </c>
      <c r="T189" s="10" t="n"/>
      <c r="U189" s="17">
        <f>IF(OR(B189="",COUNT(D189:E189)&lt;2,E189&lt;D189,F189="Отменена"),0,MAX(0,MIN(E189,Сводка!$B$4)-MAX(D189,Сводка!$B$2)))</f>
        <v/>
      </c>
    </row>
    <row r="190">
      <c r="A190" s="9" t="n"/>
      <c r="B190" s="10" t="n"/>
      <c r="C190" s="10" t="n"/>
      <c r="D190" s="11" t="n"/>
      <c r="E190" s="11" t="n"/>
      <c r="F190" s="10" t="n"/>
      <c r="G190" s="12">
        <f>IF(B190="","",IF(OR(COUNT(D190:E190)&lt;2,E190&lt;D190),"Проверьте даты",IF(OR(F190="Отменена",F190="Возвращена"),"",IF(SUMPRODUCT(($B$2:$B$500=B190)*($D$2:$D$500&lt;=E190)*($E$2:$E$500&gt;=D190)*($F$2:$F$500&lt;&gt;"Отменена")*($F$2:$F$500&lt;&gt;"Возвращена"))&gt;1,"Пересечение","ОК"))))</f>
        <v/>
      </c>
      <c r="H190" s="12">
        <f>IF(OR(B190="",D190=""),"",IF(AND(OR(F190="Выдана",F190="Возвращена"),SUMPRODUCT(($B$2:$B$500=B190)*($D$2:$D$500=D190)*(($F$2:$F$500="Выдана")+($F$2:$F$500="Возвращена")))&gt;1),"Дубль",""))</f>
        <v/>
      </c>
      <c r="I190" s="13">
        <f>IF(OR(B190="",COUNT(D190:E190)&lt;2,E190&lt;D190),"",IF(Настройки!$B$6=Настройки!$M$3,INT(E190)-INT(D190)+1,ROUNDUP(ROUND((E190-D190)*24,2)/24,0)))</f>
        <v/>
      </c>
      <c r="J190" s="14" t="n"/>
      <c r="K190" s="15">
        <f>IF(OR(I190="",J190=""),"",IF(F190="Отменена",0,ROUND(I190*J190,2)))</f>
        <v/>
      </c>
      <c r="L190" s="15">
        <f>IF(K190="","",ROUND(K190*Настройки!$B$5,2))</f>
        <v/>
      </c>
      <c r="M190" s="15">
        <f>IF(A190="","",SUMIFS(Начисления!$M$2:$M$1000,Начисления!$F$2:$F$1000,A190))</f>
        <v/>
      </c>
      <c r="N190" s="15">
        <f>IF(A190="","",SUM(K190:M190))</f>
        <v/>
      </c>
      <c r="O190" s="14" t="n"/>
      <c r="P190" s="15">
        <f>IF(A190="","",N190-O190)</f>
        <v/>
      </c>
      <c r="Q190" s="10" t="n"/>
      <c r="R190" s="10" t="n"/>
      <c r="S190" s="16">
        <f>IF(ISNUMBER(D190),D190+TIME(3,0,0),"")</f>
        <v/>
      </c>
      <c r="T190" s="10" t="n"/>
      <c r="U190" s="17">
        <f>IF(OR(B190="",COUNT(D190:E190)&lt;2,E190&lt;D190,F190="Отменена"),0,MAX(0,MIN(E190,Сводка!$B$4)-MAX(D190,Сводка!$B$2)))</f>
        <v/>
      </c>
    </row>
    <row r="191">
      <c r="A191" s="9" t="n"/>
      <c r="B191" s="10" t="n"/>
      <c r="C191" s="10" t="n"/>
      <c r="D191" s="11" t="n"/>
      <c r="E191" s="11" t="n"/>
      <c r="F191" s="10" t="n"/>
      <c r="G191" s="12">
        <f>IF(B191="","",IF(OR(COUNT(D191:E191)&lt;2,E191&lt;D191),"Проверьте даты",IF(OR(F191="Отменена",F191="Возвращена"),"",IF(SUMPRODUCT(($B$2:$B$500=B191)*($D$2:$D$500&lt;=E191)*($E$2:$E$500&gt;=D191)*($F$2:$F$500&lt;&gt;"Отменена")*($F$2:$F$500&lt;&gt;"Возвращена"))&gt;1,"Пересечение","ОК"))))</f>
        <v/>
      </c>
      <c r="H191" s="12">
        <f>IF(OR(B191="",D191=""),"",IF(AND(OR(F191="Выдана",F191="Возвращена"),SUMPRODUCT(($B$2:$B$500=B191)*($D$2:$D$500=D191)*(($F$2:$F$500="Выдана")+($F$2:$F$500="Возвращена")))&gt;1),"Дубль",""))</f>
        <v/>
      </c>
      <c r="I191" s="13">
        <f>IF(OR(B191="",COUNT(D191:E191)&lt;2,E191&lt;D191),"",IF(Настройки!$B$6=Настройки!$M$3,INT(E191)-INT(D191)+1,ROUNDUP(ROUND((E191-D191)*24,2)/24,0)))</f>
        <v/>
      </c>
      <c r="J191" s="14" t="n"/>
      <c r="K191" s="15">
        <f>IF(OR(I191="",J191=""),"",IF(F191="Отменена",0,ROUND(I191*J191,2)))</f>
        <v/>
      </c>
      <c r="L191" s="15">
        <f>IF(K191="","",ROUND(K191*Настройки!$B$5,2))</f>
        <v/>
      </c>
      <c r="M191" s="15">
        <f>IF(A191="","",SUMIFS(Начисления!$M$2:$M$1000,Начисления!$F$2:$F$1000,A191))</f>
        <v/>
      </c>
      <c r="N191" s="15">
        <f>IF(A191="","",SUM(K191:M191))</f>
        <v/>
      </c>
      <c r="O191" s="14" t="n"/>
      <c r="P191" s="15">
        <f>IF(A191="","",N191-O191)</f>
        <v/>
      </c>
      <c r="Q191" s="10" t="n"/>
      <c r="R191" s="10" t="n"/>
      <c r="S191" s="16">
        <f>IF(ISNUMBER(D191),D191+TIME(3,0,0),"")</f>
        <v/>
      </c>
      <c r="T191" s="10" t="n"/>
      <c r="U191" s="17">
        <f>IF(OR(B191="",COUNT(D191:E191)&lt;2,E191&lt;D191,F191="Отменена"),0,MAX(0,MIN(E191,Сводка!$B$4)-MAX(D191,Сводка!$B$2)))</f>
        <v/>
      </c>
    </row>
    <row r="192">
      <c r="A192" s="9" t="n"/>
      <c r="B192" s="10" t="n"/>
      <c r="C192" s="10" t="n"/>
      <c r="D192" s="11" t="n"/>
      <c r="E192" s="11" t="n"/>
      <c r="F192" s="10" t="n"/>
      <c r="G192" s="12">
        <f>IF(B192="","",IF(OR(COUNT(D192:E192)&lt;2,E192&lt;D192),"Проверьте даты",IF(OR(F192="Отменена",F192="Возвращена"),"",IF(SUMPRODUCT(($B$2:$B$500=B192)*($D$2:$D$500&lt;=E192)*($E$2:$E$500&gt;=D192)*($F$2:$F$500&lt;&gt;"Отменена")*($F$2:$F$500&lt;&gt;"Возвращена"))&gt;1,"Пересечение","ОК"))))</f>
        <v/>
      </c>
      <c r="H192" s="12">
        <f>IF(OR(B192="",D192=""),"",IF(AND(OR(F192="Выдана",F192="Возвращена"),SUMPRODUCT(($B$2:$B$500=B192)*($D$2:$D$500=D192)*(($F$2:$F$500="Выдана")+($F$2:$F$500="Возвращена")))&gt;1),"Дубль",""))</f>
        <v/>
      </c>
      <c r="I192" s="13">
        <f>IF(OR(B192="",COUNT(D192:E192)&lt;2,E192&lt;D192),"",IF(Настройки!$B$6=Настройки!$M$3,INT(E192)-INT(D192)+1,ROUNDUP(ROUND((E192-D192)*24,2)/24,0)))</f>
        <v/>
      </c>
      <c r="J192" s="14" t="n"/>
      <c r="K192" s="15">
        <f>IF(OR(I192="",J192=""),"",IF(F192="Отменена",0,ROUND(I192*J192,2)))</f>
        <v/>
      </c>
      <c r="L192" s="15">
        <f>IF(K192="","",ROUND(K192*Настройки!$B$5,2))</f>
        <v/>
      </c>
      <c r="M192" s="15">
        <f>IF(A192="","",SUMIFS(Начисления!$M$2:$M$1000,Начисления!$F$2:$F$1000,A192))</f>
        <v/>
      </c>
      <c r="N192" s="15">
        <f>IF(A192="","",SUM(K192:M192))</f>
        <v/>
      </c>
      <c r="O192" s="14" t="n"/>
      <c r="P192" s="15">
        <f>IF(A192="","",N192-O192)</f>
        <v/>
      </c>
      <c r="Q192" s="10" t="n"/>
      <c r="R192" s="10" t="n"/>
      <c r="S192" s="16">
        <f>IF(ISNUMBER(D192),D192+TIME(3,0,0),"")</f>
        <v/>
      </c>
      <c r="T192" s="10" t="n"/>
      <c r="U192" s="17">
        <f>IF(OR(B192="",COUNT(D192:E192)&lt;2,E192&lt;D192,F192="Отменена"),0,MAX(0,MIN(E192,Сводка!$B$4)-MAX(D192,Сводка!$B$2)))</f>
        <v/>
      </c>
    </row>
    <row r="193">
      <c r="A193" s="9" t="n"/>
      <c r="B193" s="10" t="n"/>
      <c r="C193" s="10" t="n"/>
      <c r="D193" s="11" t="n"/>
      <c r="E193" s="11" t="n"/>
      <c r="F193" s="10" t="n"/>
      <c r="G193" s="12">
        <f>IF(B193="","",IF(OR(COUNT(D193:E193)&lt;2,E193&lt;D193),"Проверьте даты",IF(OR(F193="Отменена",F193="Возвращена"),"",IF(SUMPRODUCT(($B$2:$B$500=B193)*($D$2:$D$500&lt;=E193)*($E$2:$E$500&gt;=D193)*($F$2:$F$500&lt;&gt;"Отменена")*($F$2:$F$500&lt;&gt;"Возвращена"))&gt;1,"Пересечение","ОК"))))</f>
        <v/>
      </c>
      <c r="H193" s="12">
        <f>IF(OR(B193="",D193=""),"",IF(AND(OR(F193="Выдана",F193="Возвращена"),SUMPRODUCT(($B$2:$B$500=B193)*($D$2:$D$500=D193)*(($F$2:$F$500="Выдана")+($F$2:$F$500="Возвращена")))&gt;1),"Дубль",""))</f>
        <v/>
      </c>
      <c r="I193" s="13">
        <f>IF(OR(B193="",COUNT(D193:E193)&lt;2,E193&lt;D193),"",IF(Настройки!$B$6=Настройки!$M$3,INT(E193)-INT(D193)+1,ROUNDUP(ROUND((E193-D193)*24,2)/24,0)))</f>
        <v/>
      </c>
      <c r="J193" s="14" t="n"/>
      <c r="K193" s="15">
        <f>IF(OR(I193="",J193=""),"",IF(F193="Отменена",0,ROUND(I193*J193,2)))</f>
        <v/>
      </c>
      <c r="L193" s="15">
        <f>IF(K193="","",ROUND(K193*Настройки!$B$5,2))</f>
        <v/>
      </c>
      <c r="M193" s="15">
        <f>IF(A193="","",SUMIFS(Начисления!$M$2:$M$1000,Начисления!$F$2:$F$1000,A193))</f>
        <v/>
      </c>
      <c r="N193" s="15">
        <f>IF(A193="","",SUM(K193:M193))</f>
        <v/>
      </c>
      <c r="O193" s="14" t="n"/>
      <c r="P193" s="15">
        <f>IF(A193="","",N193-O193)</f>
        <v/>
      </c>
      <c r="Q193" s="10" t="n"/>
      <c r="R193" s="10" t="n"/>
      <c r="S193" s="16">
        <f>IF(ISNUMBER(D193),D193+TIME(3,0,0),"")</f>
        <v/>
      </c>
      <c r="T193" s="10" t="n"/>
      <c r="U193" s="17">
        <f>IF(OR(B193="",COUNT(D193:E193)&lt;2,E193&lt;D193,F193="Отменена"),0,MAX(0,MIN(E193,Сводка!$B$4)-MAX(D193,Сводка!$B$2)))</f>
        <v/>
      </c>
    </row>
    <row r="194">
      <c r="A194" s="9" t="n"/>
      <c r="B194" s="10" t="n"/>
      <c r="C194" s="10" t="n"/>
      <c r="D194" s="11" t="n"/>
      <c r="E194" s="11" t="n"/>
      <c r="F194" s="10" t="n"/>
      <c r="G194" s="12">
        <f>IF(B194="","",IF(OR(COUNT(D194:E194)&lt;2,E194&lt;D194),"Проверьте даты",IF(OR(F194="Отменена",F194="Возвращена"),"",IF(SUMPRODUCT(($B$2:$B$500=B194)*($D$2:$D$500&lt;=E194)*($E$2:$E$500&gt;=D194)*($F$2:$F$500&lt;&gt;"Отменена")*($F$2:$F$500&lt;&gt;"Возвращена"))&gt;1,"Пересечение","ОК"))))</f>
        <v/>
      </c>
      <c r="H194" s="12">
        <f>IF(OR(B194="",D194=""),"",IF(AND(OR(F194="Выдана",F194="Возвращена"),SUMPRODUCT(($B$2:$B$500=B194)*($D$2:$D$500=D194)*(($F$2:$F$500="Выдана")+($F$2:$F$500="Возвращена")))&gt;1),"Дубль",""))</f>
        <v/>
      </c>
      <c r="I194" s="13">
        <f>IF(OR(B194="",COUNT(D194:E194)&lt;2,E194&lt;D194),"",IF(Настройки!$B$6=Настройки!$M$3,INT(E194)-INT(D194)+1,ROUNDUP(ROUND((E194-D194)*24,2)/24,0)))</f>
        <v/>
      </c>
      <c r="J194" s="14" t="n"/>
      <c r="K194" s="15">
        <f>IF(OR(I194="",J194=""),"",IF(F194="Отменена",0,ROUND(I194*J194,2)))</f>
        <v/>
      </c>
      <c r="L194" s="15">
        <f>IF(K194="","",ROUND(K194*Настройки!$B$5,2))</f>
        <v/>
      </c>
      <c r="M194" s="15">
        <f>IF(A194="","",SUMIFS(Начисления!$M$2:$M$1000,Начисления!$F$2:$F$1000,A194))</f>
        <v/>
      </c>
      <c r="N194" s="15">
        <f>IF(A194="","",SUM(K194:M194))</f>
        <v/>
      </c>
      <c r="O194" s="14" t="n"/>
      <c r="P194" s="15">
        <f>IF(A194="","",N194-O194)</f>
        <v/>
      </c>
      <c r="Q194" s="10" t="n"/>
      <c r="R194" s="10" t="n"/>
      <c r="S194" s="16">
        <f>IF(ISNUMBER(D194),D194+TIME(3,0,0),"")</f>
        <v/>
      </c>
      <c r="T194" s="10" t="n"/>
      <c r="U194" s="17">
        <f>IF(OR(B194="",COUNT(D194:E194)&lt;2,E194&lt;D194,F194="Отменена"),0,MAX(0,MIN(E194,Сводка!$B$4)-MAX(D194,Сводка!$B$2)))</f>
        <v/>
      </c>
    </row>
    <row r="195">
      <c r="A195" s="9" t="n"/>
      <c r="B195" s="10" t="n"/>
      <c r="C195" s="10" t="n"/>
      <c r="D195" s="11" t="n"/>
      <c r="E195" s="11" t="n"/>
      <c r="F195" s="10" t="n"/>
      <c r="G195" s="12">
        <f>IF(B195="","",IF(OR(COUNT(D195:E195)&lt;2,E195&lt;D195),"Проверьте даты",IF(OR(F195="Отменена",F195="Возвращена"),"",IF(SUMPRODUCT(($B$2:$B$500=B195)*($D$2:$D$500&lt;=E195)*($E$2:$E$500&gt;=D195)*($F$2:$F$500&lt;&gt;"Отменена")*($F$2:$F$500&lt;&gt;"Возвращена"))&gt;1,"Пересечение","ОК"))))</f>
        <v/>
      </c>
      <c r="H195" s="12">
        <f>IF(OR(B195="",D195=""),"",IF(AND(OR(F195="Выдана",F195="Возвращена"),SUMPRODUCT(($B$2:$B$500=B195)*($D$2:$D$500=D195)*(($F$2:$F$500="Выдана")+($F$2:$F$500="Возвращена")))&gt;1),"Дубль",""))</f>
        <v/>
      </c>
      <c r="I195" s="13">
        <f>IF(OR(B195="",COUNT(D195:E195)&lt;2,E195&lt;D195),"",IF(Настройки!$B$6=Настройки!$M$3,INT(E195)-INT(D195)+1,ROUNDUP(ROUND((E195-D195)*24,2)/24,0)))</f>
        <v/>
      </c>
      <c r="J195" s="14" t="n"/>
      <c r="K195" s="15">
        <f>IF(OR(I195="",J195=""),"",IF(F195="Отменена",0,ROUND(I195*J195,2)))</f>
        <v/>
      </c>
      <c r="L195" s="15">
        <f>IF(K195="","",ROUND(K195*Настройки!$B$5,2))</f>
        <v/>
      </c>
      <c r="M195" s="15">
        <f>IF(A195="","",SUMIFS(Начисления!$M$2:$M$1000,Начисления!$F$2:$F$1000,A195))</f>
        <v/>
      </c>
      <c r="N195" s="15">
        <f>IF(A195="","",SUM(K195:M195))</f>
        <v/>
      </c>
      <c r="O195" s="14" t="n"/>
      <c r="P195" s="15">
        <f>IF(A195="","",N195-O195)</f>
        <v/>
      </c>
      <c r="Q195" s="10" t="n"/>
      <c r="R195" s="10" t="n"/>
      <c r="S195" s="16">
        <f>IF(ISNUMBER(D195),D195+TIME(3,0,0),"")</f>
        <v/>
      </c>
      <c r="T195" s="10" t="n"/>
      <c r="U195" s="17">
        <f>IF(OR(B195="",COUNT(D195:E195)&lt;2,E195&lt;D195,F195="Отменена"),0,MAX(0,MIN(E195,Сводка!$B$4)-MAX(D195,Сводка!$B$2)))</f>
        <v/>
      </c>
    </row>
    <row r="196">
      <c r="A196" s="9" t="n"/>
      <c r="B196" s="10" t="n"/>
      <c r="C196" s="10" t="n"/>
      <c r="D196" s="11" t="n"/>
      <c r="E196" s="11" t="n"/>
      <c r="F196" s="10" t="n"/>
      <c r="G196" s="12">
        <f>IF(B196="","",IF(OR(COUNT(D196:E196)&lt;2,E196&lt;D196),"Проверьте даты",IF(OR(F196="Отменена",F196="Возвращена"),"",IF(SUMPRODUCT(($B$2:$B$500=B196)*($D$2:$D$500&lt;=E196)*($E$2:$E$500&gt;=D196)*($F$2:$F$500&lt;&gt;"Отменена")*($F$2:$F$500&lt;&gt;"Возвращена"))&gt;1,"Пересечение","ОК"))))</f>
        <v/>
      </c>
      <c r="H196" s="12">
        <f>IF(OR(B196="",D196=""),"",IF(AND(OR(F196="Выдана",F196="Возвращена"),SUMPRODUCT(($B$2:$B$500=B196)*($D$2:$D$500=D196)*(($F$2:$F$500="Выдана")+($F$2:$F$500="Возвращена")))&gt;1),"Дубль",""))</f>
        <v/>
      </c>
      <c r="I196" s="13">
        <f>IF(OR(B196="",COUNT(D196:E196)&lt;2,E196&lt;D196),"",IF(Настройки!$B$6=Настройки!$M$3,INT(E196)-INT(D196)+1,ROUNDUP(ROUND((E196-D196)*24,2)/24,0)))</f>
        <v/>
      </c>
      <c r="J196" s="14" t="n"/>
      <c r="K196" s="15">
        <f>IF(OR(I196="",J196=""),"",IF(F196="Отменена",0,ROUND(I196*J196,2)))</f>
        <v/>
      </c>
      <c r="L196" s="15">
        <f>IF(K196="","",ROUND(K196*Настройки!$B$5,2))</f>
        <v/>
      </c>
      <c r="M196" s="15">
        <f>IF(A196="","",SUMIFS(Начисления!$M$2:$M$1000,Начисления!$F$2:$F$1000,A196))</f>
        <v/>
      </c>
      <c r="N196" s="15">
        <f>IF(A196="","",SUM(K196:M196))</f>
        <v/>
      </c>
      <c r="O196" s="14" t="n"/>
      <c r="P196" s="15">
        <f>IF(A196="","",N196-O196)</f>
        <v/>
      </c>
      <c r="Q196" s="10" t="n"/>
      <c r="R196" s="10" t="n"/>
      <c r="S196" s="16">
        <f>IF(ISNUMBER(D196),D196+TIME(3,0,0),"")</f>
        <v/>
      </c>
      <c r="T196" s="10" t="n"/>
      <c r="U196" s="17">
        <f>IF(OR(B196="",COUNT(D196:E196)&lt;2,E196&lt;D196,F196="Отменена"),0,MAX(0,MIN(E196,Сводка!$B$4)-MAX(D196,Сводка!$B$2)))</f>
        <v/>
      </c>
    </row>
    <row r="197">
      <c r="A197" s="9" t="n"/>
      <c r="B197" s="10" t="n"/>
      <c r="C197" s="10" t="n"/>
      <c r="D197" s="11" t="n"/>
      <c r="E197" s="11" t="n"/>
      <c r="F197" s="10" t="n"/>
      <c r="G197" s="12">
        <f>IF(B197="","",IF(OR(COUNT(D197:E197)&lt;2,E197&lt;D197),"Проверьте даты",IF(OR(F197="Отменена",F197="Возвращена"),"",IF(SUMPRODUCT(($B$2:$B$500=B197)*($D$2:$D$500&lt;=E197)*($E$2:$E$500&gt;=D197)*($F$2:$F$500&lt;&gt;"Отменена")*($F$2:$F$500&lt;&gt;"Возвращена"))&gt;1,"Пересечение","ОК"))))</f>
        <v/>
      </c>
      <c r="H197" s="12">
        <f>IF(OR(B197="",D197=""),"",IF(AND(OR(F197="Выдана",F197="Возвращена"),SUMPRODUCT(($B$2:$B$500=B197)*($D$2:$D$500=D197)*(($F$2:$F$500="Выдана")+($F$2:$F$500="Возвращена")))&gt;1),"Дубль",""))</f>
        <v/>
      </c>
      <c r="I197" s="13">
        <f>IF(OR(B197="",COUNT(D197:E197)&lt;2,E197&lt;D197),"",IF(Настройки!$B$6=Настройки!$M$3,INT(E197)-INT(D197)+1,ROUNDUP(ROUND((E197-D197)*24,2)/24,0)))</f>
        <v/>
      </c>
      <c r="J197" s="14" t="n"/>
      <c r="K197" s="15">
        <f>IF(OR(I197="",J197=""),"",IF(F197="Отменена",0,ROUND(I197*J197,2)))</f>
        <v/>
      </c>
      <c r="L197" s="15">
        <f>IF(K197="","",ROUND(K197*Настройки!$B$5,2))</f>
        <v/>
      </c>
      <c r="M197" s="15">
        <f>IF(A197="","",SUMIFS(Начисления!$M$2:$M$1000,Начисления!$F$2:$F$1000,A197))</f>
        <v/>
      </c>
      <c r="N197" s="15">
        <f>IF(A197="","",SUM(K197:M197))</f>
        <v/>
      </c>
      <c r="O197" s="14" t="n"/>
      <c r="P197" s="15">
        <f>IF(A197="","",N197-O197)</f>
        <v/>
      </c>
      <c r="Q197" s="10" t="n"/>
      <c r="R197" s="10" t="n"/>
      <c r="S197" s="16">
        <f>IF(ISNUMBER(D197),D197+TIME(3,0,0),"")</f>
        <v/>
      </c>
      <c r="T197" s="10" t="n"/>
      <c r="U197" s="17">
        <f>IF(OR(B197="",COUNT(D197:E197)&lt;2,E197&lt;D197,F197="Отменена"),0,MAX(0,MIN(E197,Сводка!$B$4)-MAX(D197,Сводка!$B$2)))</f>
        <v/>
      </c>
    </row>
    <row r="198">
      <c r="A198" s="9" t="n"/>
      <c r="B198" s="10" t="n"/>
      <c r="C198" s="10" t="n"/>
      <c r="D198" s="11" t="n"/>
      <c r="E198" s="11" t="n"/>
      <c r="F198" s="10" t="n"/>
      <c r="G198" s="12">
        <f>IF(B198="","",IF(OR(COUNT(D198:E198)&lt;2,E198&lt;D198),"Проверьте даты",IF(OR(F198="Отменена",F198="Возвращена"),"",IF(SUMPRODUCT(($B$2:$B$500=B198)*($D$2:$D$500&lt;=E198)*($E$2:$E$500&gt;=D198)*($F$2:$F$500&lt;&gt;"Отменена")*($F$2:$F$500&lt;&gt;"Возвращена"))&gt;1,"Пересечение","ОК"))))</f>
        <v/>
      </c>
      <c r="H198" s="12">
        <f>IF(OR(B198="",D198=""),"",IF(AND(OR(F198="Выдана",F198="Возвращена"),SUMPRODUCT(($B$2:$B$500=B198)*($D$2:$D$500=D198)*(($F$2:$F$500="Выдана")+($F$2:$F$500="Возвращена")))&gt;1),"Дубль",""))</f>
        <v/>
      </c>
      <c r="I198" s="13">
        <f>IF(OR(B198="",COUNT(D198:E198)&lt;2,E198&lt;D198),"",IF(Настройки!$B$6=Настройки!$M$3,INT(E198)-INT(D198)+1,ROUNDUP(ROUND((E198-D198)*24,2)/24,0)))</f>
        <v/>
      </c>
      <c r="J198" s="14" t="n"/>
      <c r="K198" s="15">
        <f>IF(OR(I198="",J198=""),"",IF(F198="Отменена",0,ROUND(I198*J198,2)))</f>
        <v/>
      </c>
      <c r="L198" s="15">
        <f>IF(K198="","",ROUND(K198*Настройки!$B$5,2))</f>
        <v/>
      </c>
      <c r="M198" s="15">
        <f>IF(A198="","",SUMIFS(Начисления!$M$2:$M$1000,Начисления!$F$2:$F$1000,A198))</f>
        <v/>
      </c>
      <c r="N198" s="15">
        <f>IF(A198="","",SUM(K198:M198))</f>
        <v/>
      </c>
      <c r="O198" s="14" t="n"/>
      <c r="P198" s="15">
        <f>IF(A198="","",N198-O198)</f>
        <v/>
      </c>
      <c r="Q198" s="10" t="n"/>
      <c r="R198" s="10" t="n"/>
      <c r="S198" s="16">
        <f>IF(ISNUMBER(D198),D198+TIME(3,0,0),"")</f>
        <v/>
      </c>
      <c r="T198" s="10" t="n"/>
      <c r="U198" s="17">
        <f>IF(OR(B198="",COUNT(D198:E198)&lt;2,E198&lt;D198,F198="Отменена"),0,MAX(0,MIN(E198,Сводка!$B$4)-MAX(D198,Сводка!$B$2)))</f>
        <v/>
      </c>
    </row>
    <row r="199">
      <c r="A199" s="9" t="n"/>
      <c r="B199" s="10" t="n"/>
      <c r="C199" s="10" t="n"/>
      <c r="D199" s="11" t="n"/>
      <c r="E199" s="11" t="n"/>
      <c r="F199" s="10" t="n"/>
      <c r="G199" s="12">
        <f>IF(B199="","",IF(OR(COUNT(D199:E199)&lt;2,E199&lt;D199),"Проверьте даты",IF(OR(F199="Отменена",F199="Возвращена"),"",IF(SUMPRODUCT(($B$2:$B$500=B199)*($D$2:$D$500&lt;=E199)*($E$2:$E$500&gt;=D199)*($F$2:$F$500&lt;&gt;"Отменена")*($F$2:$F$500&lt;&gt;"Возвращена"))&gt;1,"Пересечение","ОК"))))</f>
        <v/>
      </c>
      <c r="H199" s="12">
        <f>IF(OR(B199="",D199=""),"",IF(AND(OR(F199="Выдана",F199="Возвращена"),SUMPRODUCT(($B$2:$B$500=B199)*($D$2:$D$500=D199)*(($F$2:$F$500="Выдана")+($F$2:$F$500="Возвращена")))&gt;1),"Дубль",""))</f>
        <v/>
      </c>
      <c r="I199" s="13">
        <f>IF(OR(B199="",COUNT(D199:E199)&lt;2,E199&lt;D199),"",IF(Настройки!$B$6=Настройки!$M$3,INT(E199)-INT(D199)+1,ROUNDUP(ROUND((E199-D199)*24,2)/24,0)))</f>
        <v/>
      </c>
      <c r="J199" s="14" t="n"/>
      <c r="K199" s="15">
        <f>IF(OR(I199="",J199=""),"",IF(F199="Отменена",0,ROUND(I199*J199,2)))</f>
        <v/>
      </c>
      <c r="L199" s="15">
        <f>IF(K199="","",ROUND(K199*Настройки!$B$5,2))</f>
        <v/>
      </c>
      <c r="M199" s="15">
        <f>IF(A199="","",SUMIFS(Начисления!$M$2:$M$1000,Начисления!$F$2:$F$1000,A199))</f>
        <v/>
      </c>
      <c r="N199" s="15">
        <f>IF(A199="","",SUM(K199:M199))</f>
        <v/>
      </c>
      <c r="O199" s="14" t="n"/>
      <c r="P199" s="15">
        <f>IF(A199="","",N199-O199)</f>
        <v/>
      </c>
      <c r="Q199" s="10" t="n"/>
      <c r="R199" s="10" t="n"/>
      <c r="S199" s="16">
        <f>IF(ISNUMBER(D199),D199+TIME(3,0,0),"")</f>
        <v/>
      </c>
      <c r="T199" s="10" t="n"/>
      <c r="U199" s="17">
        <f>IF(OR(B199="",COUNT(D199:E199)&lt;2,E199&lt;D199,F199="Отменена"),0,MAX(0,MIN(E199,Сводка!$B$4)-MAX(D199,Сводка!$B$2)))</f>
        <v/>
      </c>
    </row>
    <row r="200">
      <c r="A200" s="9" t="n"/>
      <c r="B200" s="10" t="n"/>
      <c r="C200" s="10" t="n"/>
      <c r="D200" s="11" t="n"/>
      <c r="E200" s="11" t="n"/>
      <c r="F200" s="10" t="n"/>
      <c r="G200" s="12">
        <f>IF(B200="","",IF(OR(COUNT(D200:E200)&lt;2,E200&lt;D200),"Проверьте даты",IF(OR(F200="Отменена",F200="Возвращена"),"",IF(SUMPRODUCT(($B$2:$B$500=B200)*($D$2:$D$500&lt;=E200)*($E$2:$E$500&gt;=D200)*($F$2:$F$500&lt;&gt;"Отменена")*($F$2:$F$500&lt;&gt;"Возвращена"))&gt;1,"Пересечение","ОК"))))</f>
        <v/>
      </c>
      <c r="H200" s="12">
        <f>IF(OR(B200="",D200=""),"",IF(AND(OR(F200="Выдана",F200="Возвращена"),SUMPRODUCT(($B$2:$B$500=B200)*($D$2:$D$500=D200)*(($F$2:$F$500="Выдана")+($F$2:$F$500="Возвращена")))&gt;1),"Дубль",""))</f>
        <v/>
      </c>
      <c r="I200" s="13">
        <f>IF(OR(B200="",COUNT(D200:E200)&lt;2,E200&lt;D200),"",IF(Настройки!$B$6=Настройки!$M$3,INT(E200)-INT(D200)+1,ROUNDUP(ROUND((E200-D200)*24,2)/24,0)))</f>
        <v/>
      </c>
      <c r="J200" s="14" t="n"/>
      <c r="K200" s="15">
        <f>IF(OR(I200="",J200=""),"",IF(F200="Отменена",0,ROUND(I200*J200,2)))</f>
        <v/>
      </c>
      <c r="L200" s="15">
        <f>IF(K200="","",ROUND(K200*Настройки!$B$5,2))</f>
        <v/>
      </c>
      <c r="M200" s="15">
        <f>IF(A200="","",SUMIFS(Начисления!$M$2:$M$1000,Начисления!$F$2:$F$1000,A200))</f>
        <v/>
      </c>
      <c r="N200" s="15">
        <f>IF(A200="","",SUM(K200:M200))</f>
        <v/>
      </c>
      <c r="O200" s="14" t="n"/>
      <c r="P200" s="15">
        <f>IF(A200="","",N200-O200)</f>
        <v/>
      </c>
      <c r="Q200" s="10" t="n"/>
      <c r="R200" s="10" t="n"/>
      <c r="S200" s="16">
        <f>IF(ISNUMBER(D200),D200+TIME(3,0,0),"")</f>
        <v/>
      </c>
      <c r="T200" s="10" t="n"/>
      <c r="U200" s="17">
        <f>IF(OR(B200="",COUNT(D200:E200)&lt;2,E200&lt;D200,F200="Отменена"),0,MAX(0,MIN(E200,Сводка!$B$4)-MAX(D200,Сводка!$B$2)))</f>
        <v/>
      </c>
    </row>
    <row r="201">
      <c r="A201" s="9" t="n"/>
      <c r="B201" s="10" t="n"/>
      <c r="C201" s="10" t="n"/>
      <c r="D201" s="11" t="n"/>
      <c r="E201" s="11" t="n"/>
      <c r="F201" s="10" t="n"/>
      <c r="G201" s="12">
        <f>IF(B201="","",IF(OR(COUNT(D201:E201)&lt;2,E201&lt;D201),"Проверьте даты",IF(OR(F201="Отменена",F201="Возвращена"),"",IF(SUMPRODUCT(($B$2:$B$500=B201)*($D$2:$D$500&lt;=E201)*($E$2:$E$500&gt;=D201)*($F$2:$F$500&lt;&gt;"Отменена")*($F$2:$F$500&lt;&gt;"Возвращена"))&gt;1,"Пересечение","ОК"))))</f>
        <v/>
      </c>
      <c r="H201" s="12">
        <f>IF(OR(B201="",D201=""),"",IF(AND(OR(F201="Выдана",F201="Возвращена"),SUMPRODUCT(($B$2:$B$500=B201)*($D$2:$D$500=D201)*(($F$2:$F$500="Выдана")+($F$2:$F$500="Возвращена")))&gt;1),"Дубль",""))</f>
        <v/>
      </c>
      <c r="I201" s="13">
        <f>IF(OR(B201="",COUNT(D201:E201)&lt;2,E201&lt;D201),"",IF(Настройки!$B$6=Настройки!$M$3,INT(E201)-INT(D201)+1,ROUNDUP(ROUND((E201-D201)*24,2)/24,0)))</f>
        <v/>
      </c>
      <c r="J201" s="14" t="n"/>
      <c r="K201" s="15">
        <f>IF(OR(I201="",J201=""),"",IF(F201="Отменена",0,ROUND(I201*J201,2)))</f>
        <v/>
      </c>
      <c r="L201" s="15">
        <f>IF(K201="","",ROUND(K201*Настройки!$B$5,2))</f>
        <v/>
      </c>
      <c r="M201" s="15">
        <f>IF(A201="","",SUMIFS(Начисления!$M$2:$M$1000,Начисления!$F$2:$F$1000,A201))</f>
        <v/>
      </c>
      <c r="N201" s="15">
        <f>IF(A201="","",SUM(K201:M201))</f>
        <v/>
      </c>
      <c r="O201" s="14" t="n"/>
      <c r="P201" s="15">
        <f>IF(A201="","",N201-O201)</f>
        <v/>
      </c>
      <c r="Q201" s="10" t="n"/>
      <c r="R201" s="10" t="n"/>
      <c r="S201" s="16">
        <f>IF(ISNUMBER(D201),D201+TIME(3,0,0),"")</f>
        <v/>
      </c>
      <c r="T201" s="10" t="n"/>
      <c r="U201" s="17">
        <f>IF(OR(B201="",COUNT(D201:E201)&lt;2,E201&lt;D201,F201="Отменена"),0,MAX(0,MIN(E201,Сводка!$B$4)-MAX(D201,Сводка!$B$2)))</f>
        <v/>
      </c>
    </row>
    <row r="202">
      <c r="A202" s="9" t="n"/>
      <c r="B202" s="10" t="n"/>
      <c r="C202" s="10" t="n"/>
      <c r="D202" s="11" t="n"/>
      <c r="E202" s="11" t="n"/>
      <c r="F202" s="10" t="n"/>
      <c r="G202" s="12">
        <f>IF(B202="","",IF(OR(COUNT(D202:E202)&lt;2,E202&lt;D202),"Проверьте даты",IF(OR(F202="Отменена",F202="Возвращена"),"",IF(SUMPRODUCT(($B$2:$B$500=B202)*($D$2:$D$500&lt;=E202)*($E$2:$E$500&gt;=D202)*($F$2:$F$500&lt;&gt;"Отменена")*($F$2:$F$500&lt;&gt;"Возвращена"))&gt;1,"Пересечение","ОК"))))</f>
        <v/>
      </c>
      <c r="H202" s="12">
        <f>IF(OR(B202="",D202=""),"",IF(AND(OR(F202="Выдана",F202="Возвращена"),SUMPRODUCT(($B$2:$B$500=B202)*($D$2:$D$500=D202)*(($F$2:$F$500="Выдана")+($F$2:$F$500="Возвращена")))&gt;1),"Дубль",""))</f>
        <v/>
      </c>
      <c r="I202" s="13">
        <f>IF(OR(B202="",COUNT(D202:E202)&lt;2,E202&lt;D202),"",IF(Настройки!$B$6=Настройки!$M$3,INT(E202)-INT(D202)+1,ROUNDUP(ROUND((E202-D202)*24,2)/24,0)))</f>
        <v/>
      </c>
      <c r="J202" s="14" t="n"/>
      <c r="K202" s="15">
        <f>IF(OR(I202="",J202=""),"",IF(F202="Отменена",0,ROUND(I202*J202,2)))</f>
        <v/>
      </c>
      <c r="L202" s="15">
        <f>IF(K202="","",ROUND(K202*Настройки!$B$5,2))</f>
        <v/>
      </c>
      <c r="M202" s="15">
        <f>IF(A202="","",SUMIFS(Начисления!$M$2:$M$1000,Начисления!$F$2:$F$1000,A202))</f>
        <v/>
      </c>
      <c r="N202" s="15">
        <f>IF(A202="","",SUM(K202:M202))</f>
        <v/>
      </c>
      <c r="O202" s="14" t="n"/>
      <c r="P202" s="15">
        <f>IF(A202="","",N202-O202)</f>
        <v/>
      </c>
      <c r="Q202" s="10" t="n"/>
      <c r="R202" s="10" t="n"/>
      <c r="S202" s="16">
        <f>IF(ISNUMBER(D202),D202+TIME(3,0,0),"")</f>
        <v/>
      </c>
      <c r="T202" s="10" t="n"/>
      <c r="U202" s="17">
        <f>IF(OR(B202="",COUNT(D202:E202)&lt;2,E202&lt;D202,F202="Отменена"),0,MAX(0,MIN(E202,Сводка!$B$4)-MAX(D202,Сводка!$B$2)))</f>
        <v/>
      </c>
    </row>
    <row r="203">
      <c r="A203" s="9" t="n"/>
      <c r="B203" s="10" t="n"/>
      <c r="C203" s="10" t="n"/>
      <c r="D203" s="11" t="n"/>
      <c r="E203" s="11" t="n"/>
      <c r="F203" s="10" t="n"/>
      <c r="G203" s="12">
        <f>IF(B203="","",IF(OR(COUNT(D203:E203)&lt;2,E203&lt;D203),"Проверьте даты",IF(OR(F203="Отменена",F203="Возвращена"),"",IF(SUMPRODUCT(($B$2:$B$500=B203)*($D$2:$D$500&lt;=E203)*($E$2:$E$500&gt;=D203)*($F$2:$F$500&lt;&gt;"Отменена")*($F$2:$F$500&lt;&gt;"Возвращена"))&gt;1,"Пересечение","ОК"))))</f>
        <v/>
      </c>
      <c r="H203" s="12">
        <f>IF(OR(B203="",D203=""),"",IF(AND(OR(F203="Выдана",F203="Возвращена"),SUMPRODUCT(($B$2:$B$500=B203)*($D$2:$D$500=D203)*(($F$2:$F$500="Выдана")+($F$2:$F$500="Возвращена")))&gt;1),"Дубль",""))</f>
        <v/>
      </c>
      <c r="I203" s="13">
        <f>IF(OR(B203="",COUNT(D203:E203)&lt;2,E203&lt;D203),"",IF(Настройки!$B$6=Настройки!$M$3,INT(E203)-INT(D203)+1,ROUNDUP(ROUND((E203-D203)*24,2)/24,0)))</f>
        <v/>
      </c>
      <c r="J203" s="14" t="n"/>
      <c r="K203" s="15">
        <f>IF(OR(I203="",J203=""),"",IF(F203="Отменена",0,ROUND(I203*J203,2)))</f>
        <v/>
      </c>
      <c r="L203" s="15">
        <f>IF(K203="","",ROUND(K203*Настройки!$B$5,2))</f>
        <v/>
      </c>
      <c r="M203" s="15">
        <f>IF(A203="","",SUMIFS(Начисления!$M$2:$M$1000,Начисления!$F$2:$F$1000,A203))</f>
        <v/>
      </c>
      <c r="N203" s="15">
        <f>IF(A203="","",SUM(K203:M203))</f>
        <v/>
      </c>
      <c r="O203" s="14" t="n"/>
      <c r="P203" s="15">
        <f>IF(A203="","",N203-O203)</f>
        <v/>
      </c>
      <c r="Q203" s="10" t="n"/>
      <c r="R203" s="10" t="n"/>
      <c r="S203" s="16">
        <f>IF(ISNUMBER(D203),D203+TIME(3,0,0),"")</f>
        <v/>
      </c>
      <c r="T203" s="10" t="n"/>
      <c r="U203" s="17">
        <f>IF(OR(B203="",COUNT(D203:E203)&lt;2,E203&lt;D203,F203="Отменена"),0,MAX(0,MIN(E203,Сводка!$B$4)-MAX(D203,Сводка!$B$2)))</f>
        <v/>
      </c>
    </row>
    <row r="204">
      <c r="A204" s="9" t="n"/>
      <c r="B204" s="10" t="n"/>
      <c r="C204" s="10" t="n"/>
      <c r="D204" s="11" t="n"/>
      <c r="E204" s="11" t="n"/>
      <c r="F204" s="10" t="n"/>
      <c r="G204" s="12">
        <f>IF(B204="","",IF(OR(COUNT(D204:E204)&lt;2,E204&lt;D204),"Проверьте даты",IF(OR(F204="Отменена",F204="Возвращена"),"",IF(SUMPRODUCT(($B$2:$B$500=B204)*($D$2:$D$500&lt;=E204)*($E$2:$E$500&gt;=D204)*($F$2:$F$500&lt;&gt;"Отменена")*($F$2:$F$500&lt;&gt;"Возвращена"))&gt;1,"Пересечение","ОК"))))</f>
        <v/>
      </c>
      <c r="H204" s="12">
        <f>IF(OR(B204="",D204=""),"",IF(AND(OR(F204="Выдана",F204="Возвращена"),SUMPRODUCT(($B$2:$B$500=B204)*($D$2:$D$500=D204)*(($F$2:$F$500="Выдана")+($F$2:$F$500="Возвращена")))&gt;1),"Дубль",""))</f>
        <v/>
      </c>
      <c r="I204" s="13">
        <f>IF(OR(B204="",COUNT(D204:E204)&lt;2,E204&lt;D204),"",IF(Настройки!$B$6=Настройки!$M$3,INT(E204)-INT(D204)+1,ROUNDUP(ROUND((E204-D204)*24,2)/24,0)))</f>
        <v/>
      </c>
      <c r="J204" s="14" t="n"/>
      <c r="K204" s="15">
        <f>IF(OR(I204="",J204=""),"",IF(F204="Отменена",0,ROUND(I204*J204,2)))</f>
        <v/>
      </c>
      <c r="L204" s="15">
        <f>IF(K204="","",ROUND(K204*Настройки!$B$5,2))</f>
        <v/>
      </c>
      <c r="M204" s="15">
        <f>IF(A204="","",SUMIFS(Начисления!$M$2:$M$1000,Начисления!$F$2:$F$1000,A204))</f>
        <v/>
      </c>
      <c r="N204" s="15">
        <f>IF(A204="","",SUM(K204:M204))</f>
        <v/>
      </c>
      <c r="O204" s="14" t="n"/>
      <c r="P204" s="15">
        <f>IF(A204="","",N204-O204)</f>
        <v/>
      </c>
      <c r="Q204" s="10" t="n"/>
      <c r="R204" s="10" t="n"/>
      <c r="S204" s="16">
        <f>IF(ISNUMBER(D204),D204+TIME(3,0,0),"")</f>
        <v/>
      </c>
      <c r="T204" s="10" t="n"/>
      <c r="U204" s="17">
        <f>IF(OR(B204="",COUNT(D204:E204)&lt;2,E204&lt;D204,F204="Отменена"),0,MAX(0,MIN(E204,Сводка!$B$4)-MAX(D204,Сводка!$B$2)))</f>
        <v/>
      </c>
    </row>
    <row r="205">
      <c r="A205" s="9" t="n"/>
      <c r="B205" s="10" t="n"/>
      <c r="C205" s="10" t="n"/>
      <c r="D205" s="11" t="n"/>
      <c r="E205" s="11" t="n"/>
      <c r="F205" s="10" t="n"/>
      <c r="G205" s="12">
        <f>IF(B205="","",IF(OR(COUNT(D205:E205)&lt;2,E205&lt;D205),"Проверьте даты",IF(OR(F205="Отменена",F205="Возвращена"),"",IF(SUMPRODUCT(($B$2:$B$500=B205)*($D$2:$D$500&lt;=E205)*($E$2:$E$500&gt;=D205)*($F$2:$F$500&lt;&gt;"Отменена")*($F$2:$F$500&lt;&gt;"Возвращена"))&gt;1,"Пересечение","ОК"))))</f>
        <v/>
      </c>
      <c r="H205" s="12">
        <f>IF(OR(B205="",D205=""),"",IF(AND(OR(F205="Выдана",F205="Возвращена"),SUMPRODUCT(($B$2:$B$500=B205)*($D$2:$D$500=D205)*(($F$2:$F$500="Выдана")+($F$2:$F$500="Возвращена")))&gt;1),"Дубль",""))</f>
        <v/>
      </c>
      <c r="I205" s="13">
        <f>IF(OR(B205="",COUNT(D205:E205)&lt;2,E205&lt;D205),"",IF(Настройки!$B$6=Настройки!$M$3,INT(E205)-INT(D205)+1,ROUNDUP(ROUND((E205-D205)*24,2)/24,0)))</f>
        <v/>
      </c>
      <c r="J205" s="14" t="n"/>
      <c r="K205" s="15">
        <f>IF(OR(I205="",J205=""),"",IF(F205="Отменена",0,ROUND(I205*J205,2)))</f>
        <v/>
      </c>
      <c r="L205" s="15">
        <f>IF(K205="","",ROUND(K205*Настройки!$B$5,2))</f>
        <v/>
      </c>
      <c r="M205" s="15">
        <f>IF(A205="","",SUMIFS(Начисления!$M$2:$M$1000,Начисления!$F$2:$F$1000,A205))</f>
        <v/>
      </c>
      <c r="N205" s="15">
        <f>IF(A205="","",SUM(K205:M205))</f>
        <v/>
      </c>
      <c r="O205" s="14" t="n"/>
      <c r="P205" s="15">
        <f>IF(A205="","",N205-O205)</f>
        <v/>
      </c>
      <c r="Q205" s="10" t="n"/>
      <c r="R205" s="10" t="n"/>
      <c r="S205" s="16">
        <f>IF(ISNUMBER(D205),D205+TIME(3,0,0),"")</f>
        <v/>
      </c>
      <c r="T205" s="10" t="n"/>
      <c r="U205" s="17">
        <f>IF(OR(B205="",COUNT(D205:E205)&lt;2,E205&lt;D205,F205="Отменена"),0,MAX(0,MIN(E205,Сводка!$B$4)-MAX(D205,Сводка!$B$2)))</f>
        <v/>
      </c>
    </row>
    <row r="206">
      <c r="A206" s="9" t="n"/>
      <c r="B206" s="10" t="n"/>
      <c r="C206" s="10" t="n"/>
      <c r="D206" s="11" t="n"/>
      <c r="E206" s="11" t="n"/>
      <c r="F206" s="10" t="n"/>
      <c r="G206" s="12">
        <f>IF(B206="","",IF(OR(COUNT(D206:E206)&lt;2,E206&lt;D206),"Проверьте даты",IF(OR(F206="Отменена",F206="Возвращена"),"",IF(SUMPRODUCT(($B$2:$B$500=B206)*($D$2:$D$500&lt;=E206)*($E$2:$E$500&gt;=D206)*($F$2:$F$500&lt;&gt;"Отменена")*($F$2:$F$500&lt;&gt;"Возвращена"))&gt;1,"Пересечение","ОК"))))</f>
        <v/>
      </c>
      <c r="H206" s="12">
        <f>IF(OR(B206="",D206=""),"",IF(AND(OR(F206="Выдана",F206="Возвращена"),SUMPRODUCT(($B$2:$B$500=B206)*($D$2:$D$500=D206)*(($F$2:$F$500="Выдана")+($F$2:$F$500="Возвращена")))&gt;1),"Дубль",""))</f>
        <v/>
      </c>
      <c r="I206" s="13">
        <f>IF(OR(B206="",COUNT(D206:E206)&lt;2,E206&lt;D206),"",IF(Настройки!$B$6=Настройки!$M$3,INT(E206)-INT(D206)+1,ROUNDUP(ROUND((E206-D206)*24,2)/24,0)))</f>
        <v/>
      </c>
      <c r="J206" s="14" t="n"/>
      <c r="K206" s="15">
        <f>IF(OR(I206="",J206=""),"",IF(F206="Отменена",0,ROUND(I206*J206,2)))</f>
        <v/>
      </c>
      <c r="L206" s="15">
        <f>IF(K206="","",ROUND(K206*Настройки!$B$5,2))</f>
        <v/>
      </c>
      <c r="M206" s="15">
        <f>IF(A206="","",SUMIFS(Начисления!$M$2:$M$1000,Начисления!$F$2:$F$1000,A206))</f>
        <v/>
      </c>
      <c r="N206" s="15">
        <f>IF(A206="","",SUM(K206:M206))</f>
        <v/>
      </c>
      <c r="O206" s="14" t="n"/>
      <c r="P206" s="15">
        <f>IF(A206="","",N206-O206)</f>
        <v/>
      </c>
      <c r="Q206" s="10" t="n"/>
      <c r="R206" s="10" t="n"/>
      <c r="S206" s="16">
        <f>IF(ISNUMBER(D206),D206+TIME(3,0,0),"")</f>
        <v/>
      </c>
      <c r="T206" s="10" t="n"/>
      <c r="U206" s="17">
        <f>IF(OR(B206="",COUNT(D206:E206)&lt;2,E206&lt;D206,F206="Отменена"),0,MAX(0,MIN(E206,Сводка!$B$4)-MAX(D206,Сводка!$B$2)))</f>
        <v/>
      </c>
    </row>
    <row r="207">
      <c r="A207" s="9" t="n"/>
      <c r="B207" s="10" t="n"/>
      <c r="C207" s="10" t="n"/>
      <c r="D207" s="11" t="n"/>
      <c r="E207" s="11" t="n"/>
      <c r="F207" s="10" t="n"/>
      <c r="G207" s="12">
        <f>IF(B207="","",IF(OR(COUNT(D207:E207)&lt;2,E207&lt;D207),"Проверьте даты",IF(OR(F207="Отменена",F207="Возвращена"),"",IF(SUMPRODUCT(($B$2:$B$500=B207)*($D$2:$D$500&lt;=E207)*($E$2:$E$500&gt;=D207)*($F$2:$F$500&lt;&gt;"Отменена")*($F$2:$F$500&lt;&gt;"Возвращена"))&gt;1,"Пересечение","ОК"))))</f>
        <v/>
      </c>
      <c r="H207" s="12">
        <f>IF(OR(B207="",D207=""),"",IF(AND(OR(F207="Выдана",F207="Возвращена"),SUMPRODUCT(($B$2:$B$500=B207)*($D$2:$D$500=D207)*(($F$2:$F$500="Выдана")+($F$2:$F$500="Возвращена")))&gt;1),"Дубль",""))</f>
        <v/>
      </c>
      <c r="I207" s="13">
        <f>IF(OR(B207="",COUNT(D207:E207)&lt;2,E207&lt;D207),"",IF(Настройки!$B$6=Настройки!$M$3,INT(E207)-INT(D207)+1,ROUNDUP(ROUND((E207-D207)*24,2)/24,0)))</f>
        <v/>
      </c>
      <c r="J207" s="14" t="n"/>
      <c r="K207" s="15">
        <f>IF(OR(I207="",J207=""),"",IF(F207="Отменена",0,ROUND(I207*J207,2)))</f>
        <v/>
      </c>
      <c r="L207" s="15">
        <f>IF(K207="","",ROUND(K207*Настройки!$B$5,2))</f>
        <v/>
      </c>
      <c r="M207" s="15">
        <f>IF(A207="","",SUMIFS(Начисления!$M$2:$M$1000,Начисления!$F$2:$F$1000,A207))</f>
        <v/>
      </c>
      <c r="N207" s="15">
        <f>IF(A207="","",SUM(K207:M207))</f>
        <v/>
      </c>
      <c r="O207" s="14" t="n"/>
      <c r="P207" s="15">
        <f>IF(A207="","",N207-O207)</f>
        <v/>
      </c>
      <c r="Q207" s="10" t="n"/>
      <c r="R207" s="10" t="n"/>
      <c r="S207" s="16">
        <f>IF(ISNUMBER(D207),D207+TIME(3,0,0),"")</f>
        <v/>
      </c>
      <c r="T207" s="10" t="n"/>
      <c r="U207" s="17">
        <f>IF(OR(B207="",COUNT(D207:E207)&lt;2,E207&lt;D207,F207="Отменена"),0,MAX(0,MIN(E207,Сводка!$B$4)-MAX(D207,Сводка!$B$2)))</f>
        <v/>
      </c>
    </row>
    <row r="208">
      <c r="A208" s="9" t="n"/>
      <c r="B208" s="10" t="n"/>
      <c r="C208" s="10" t="n"/>
      <c r="D208" s="11" t="n"/>
      <c r="E208" s="11" t="n"/>
      <c r="F208" s="10" t="n"/>
      <c r="G208" s="12">
        <f>IF(B208="","",IF(OR(COUNT(D208:E208)&lt;2,E208&lt;D208),"Проверьте даты",IF(OR(F208="Отменена",F208="Возвращена"),"",IF(SUMPRODUCT(($B$2:$B$500=B208)*($D$2:$D$500&lt;=E208)*($E$2:$E$500&gt;=D208)*($F$2:$F$500&lt;&gt;"Отменена")*($F$2:$F$500&lt;&gt;"Возвращена"))&gt;1,"Пересечение","ОК"))))</f>
        <v/>
      </c>
      <c r="H208" s="12">
        <f>IF(OR(B208="",D208=""),"",IF(AND(OR(F208="Выдана",F208="Возвращена"),SUMPRODUCT(($B$2:$B$500=B208)*($D$2:$D$500=D208)*(($F$2:$F$500="Выдана")+($F$2:$F$500="Возвращена")))&gt;1),"Дубль",""))</f>
        <v/>
      </c>
      <c r="I208" s="13">
        <f>IF(OR(B208="",COUNT(D208:E208)&lt;2,E208&lt;D208),"",IF(Настройки!$B$6=Настройки!$M$3,INT(E208)-INT(D208)+1,ROUNDUP(ROUND((E208-D208)*24,2)/24,0)))</f>
        <v/>
      </c>
      <c r="J208" s="14" t="n"/>
      <c r="K208" s="15">
        <f>IF(OR(I208="",J208=""),"",IF(F208="Отменена",0,ROUND(I208*J208,2)))</f>
        <v/>
      </c>
      <c r="L208" s="15">
        <f>IF(K208="","",ROUND(K208*Настройки!$B$5,2))</f>
        <v/>
      </c>
      <c r="M208" s="15">
        <f>IF(A208="","",SUMIFS(Начисления!$M$2:$M$1000,Начисления!$F$2:$F$1000,A208))</f>
        <v/>
      </c>
      <c r="N208" s="15">
        <f>IF(A208="","",SUM(K208:M208))</f>
        <v/>
      </c>
      <c r="O208" s="14" t="n"/>
      <c r="P208" s="15">
        <f>IF(A208="","",N208-O208)</f>
        <v/>
      </c>
      <c r="Q208" s="10" t="n"/>
      <c r="R208" s="10" t="n"/>
      <c r="S208" s="16">
        <f>IF(ISNUMBER(D208),D208+TIME(3,0,0),"")</f>
        <v/>
      </c>
      <c r="T208" s="10" t="n"/>
      <c r="U208" s="17">
        <f>IF(OR(B208="",COUNT(D208:E208)&lt;2,E208&lt;D208,F208="Отменена"),0,MAX(0,MIN(E208,Сводка!$B$4)-MAX(D208,Сводка!$B$2)))</f>
        <v/>
      </c>
    </row>
    <row r="209">
      <c r="A209" s="9" t="n"/>
      <c r="B209" s="10" t="n"/>
      <c r="C209" s="10" t="n"/>
      <c r="D209" s="11" t="n"/>
      <c r="E209" s="11" t="n"/>
      <c r="F209" s="10" t="n"/>
      <c r="G209" s="12">
        <f>IF(B209="","",IF(OR(COUNT(D209:E209)&lt;2,E209&lt;D209),"Проверьте даты",IF(OR(F209="Отменена",F209="Возвращена"),"",IF(SUMPRODUCT(($B$2:$B$500=B209)*($D$2:$D$500&lt;=E209)*($E$2:$E$500&gt;=D209)*($F$2:$F$500&lt;&gt;"Отменена")*($F$2:$F$500&lt;&gt;"Возвращена"))&gt;1,"Пересечение","ОК"))))</f>
        <v/>
      </c>
      <c r="H209" s="12">
        <f>IF(OR(B209="",D209=""),"",IF(AND(OR(F209="Выдана",F209="Возвращена"),SUMPRODUCT(($B$2:$B$500=B209)*($D$2:$D$500=D209)*(($F$2:$F$500="Выдана")+($F$2:$F$500="Возвращена")))&gt;1),"Дубль",""))</f>
        <v/>
      </c>
      <c r="I209" s="13">
        <f>IF(OR(B209="",COUNT(D209:E209)&lt;2,E209&lt;D209),"",IF(Настройки!$B$6=Настройки!$M$3,INT(E209)-INT(D209)+1,ROUNDUP(ROUND((E209-D209)*24,2)/24,0)))</f>
        <v/>
      </c>
      <c r="J209" s="14" t="n"/>
      <c r="K209" s="15">
        <f>IF(OR(I209="",J209=""),"",IF(F209="Отменена",0,ROUND(I209*J209,2)))</f>
        <v/>
      </c>
      <c r="L209" s="15">
        <f>IF(K209="","",ROUND(K209*Настройки!$B$5,2))</f>
        <v/>
      </c>
      <c r="M209" s="15">
        <f>IF(A209="","",SUMIFS(Начисления!$M$2:$M$1000,Начисления!$F$2:$F$1000,A209))</f>
        <v/>
      </c>
      <c r="N209" s="15">
        <f>IF(A209="","",SUM(K209:M209))</f>
        <v/>
      </c>
      <c r="O209" s="14" t="n"/>
      <c r="P209" s="15">
        <f>IF(A209="","",N209-O209)</f>
        <v/>
      </c>
      <c r="Q209" s="10" t="n"/>
      <c r="R209" s="10" t="n"/>
      <c r="S209" s="16">
        <f>IF(ISNUMBER(D209),D209+TIME(3,0,0),"")</f>
        <v/>
      </c>
      <c r="T209" s="10" t="n"/>
      <c r="U209" s="17">
        <f>IF(OR(B209="",COUNT(D209:E209)&lt;2,E209&lt;D209,F209="Отменена"),0,MAX(0,MIN(E209,Сводка!$B$4)-MAX(D209,Сводка!$B$2)))</f>
        <v/>
      </c>
    </row>
    <row r="210">
      <c r="A210" s="9" t="n"/>
      <c r="B210" s="10" t="n"/>
      <c r="C210" s="10" t="n"/>
      <c r="D210" s="11" t="n"/>
      <c r="E210" s="11" t="n"/>
      <c r="F210" s="10" t="n"/>
      <c r="G210" s="12">
        <f>IF(B210="","",IF(OR(COUNT(D210:E210)&lt;2,E210&lt;D210),"Проверьте даты",IF(OR(F210="Отменена",F210="Возвращена"),"",IF(SUMPRODUCT(($B$2:$B$500=B210)*($D$2:$D$500&lt;=E210)*($E$2:$E$500&gt;=D210)*($F$2:$F$500&lt;&gt;"Отменена")*($F$2:$F$500&lt;&gt;"Возвращена"))&gt;1,"Пересечение","ОК"))))</f>
        <v/>
      </c>
      <c r="H210" s="12">
        <f>IF(OR(B210="",D210=""),"",IF(AND(OR(F210="Выдана",F210="Возвращена"),SUMPRODUCT(($B$2:$B$500=B210)*($D$2:$D$500=D210)*(($F$2:$F$500="Выдана")+($F$2:$F$500="Возвращена")))&gt;1),"Дубль",""))</f>
        <v/>
      </c>
      <c r="I210" s="13">
        <f>IF(OR(B210="",COUNT(D210:E210)&lt;2,E210&lt;D210),"",IF(Настройки!$B$6=Настройки!$M$3,INT(E210)-INT(D210)+1,ROUNDUP(ROUND((E210-D210)*24,2)/24,0)))</f>
        <v/>
      </c>
      <c r="J210" s="14" t="n"/>
      <c r="K210" s="15">
        <f>IF(OR(I210="",J210=""),"",IF(F210="Отменена",0,ROUND(I210*J210,2)))</f>
        <v/>
      </c>
      <c r="L210" s="15">
        <f>IF(K210="","",ROUND(K210*Настройки!$B$5,2))</f>
        <v/>
      </c>
      <c r="M210" s="15">
        <f>IF(A210="","",SUMIFS(Начисления!$M$2:$M$1000,Начисления!$F$2:$F$1000,A210))</f>
        <v/>
      </c>
      <c r="N210" s="15">
        <f>IF(A210="","",SUM(K210:M210))</f>
        <v/>
      </c>
      <c r="O210" s="14" t="n"/>
      <c r="P210" s="15">
        <f>IF(A210="","",N210-O210)</f>
        <v/>
      </c>
      <c r="Q210" s="10" t="n"/>
      <c r="R210" s="10" t="n"/>
      <c r="S210" s="16">
        <f>IF(ISNUMBER(D210),D210+TIME(3,0,0),"")</f>
        <v/>
      </c>
      <c r="T210" s="10" t="n"/>
      <c r="U210" s="17">
        <f>IF(OR(B210="",COUNT(D210:E210)&lt;2,E210&lt;D210,F210="Отменена"),0,MAX(0,MIN(E210,Сводка!$B$4)-MAX(D210,Сводка!$B$2)))</f>
        <v/>
      </c>
    </row>
    <row r="211">
      <c r="A211" s="9" t="n"/>
      <c r="B211" s="10" t="n"/>
      <c r="C211" s="10" t="n"/>
      <c r="D211" s="11" t="n"/>
      <c r="E211" s="11" t="n"/>
      <c r="F211" s="10" t="n"/>
      <c r="G211" s="12">
        <f>IF(B211="","",IF(OR(COUNT(D211:E211)&lt;2,E211&lt;D211),"Проверьте даты",IF(OR(F211="Отменена",F211="Возвращена"),"",IF(SUMPRODUCT(($B$2:$B$500=B211)*($D$2:$D$500&lt;=E211)*($E$2:$E$500&gt;=D211)*($F$2:$F$500&lt;&gt;"Отменена")*($F$2:$F$500&lt;&gt;"Возвращена"))&gt;1,"Пересечение","ОК"))))</f>
        <v/>
      </c>
      <c r="H211" s="12">
        <f>IF(OR(B211="",D211=""),"",IF(AND(OR(F211="Выдана",F211="Возвращена"),SUMPRODUCT(($B$2:$B$500=B211)*($D$2:$D$500=D211)*(($F$2:$F$500="Выдана")+($F$2:$F$500="Возвращена")))&gt;1),"Дубль",""))</f>
        <v/>
      </c>
      <c r="I211" s="13">
        <f>IF(OR(B211="",COUNT(D211:E211)&lt;2,E211&lt;D211),"",IF(Настройки!$B$6=Настройки!$M$3,INT(E211)-INT(D211)+1,ROUNDUP(ROUND((E211-D211)*24,2)/24,0)))</f>
        <v/>
      </c>
      <c r="J211" s="14" t="n"/>
      <c r="K211" s="15">
        <f>IF(OR(I211="",J211=""),"",IF(F211="Отменена",0,ROUND(I211*J211,2)))</f>
        <v/>
      </c>
      <c r="L211" s="15">
        <f>IF(K211="","",ROUND(K211*Настройки!$B$5,2))</f>
        <v/>
      </c>
      <c r="M211" s="15">
        <f>IF(A211="","",SUMIFS(Начисления!$M$2:$M$1000,Начисления!$F$2:$F$1000,A211))</f>
        <v/>
      </c>
      <c r="N211" s="15">
        <f>IF(A211="","",SUM(K211:M211))</f>
        <v/>
      </c>
      <c r="O211" s="14" t="n"/>
      <c r="P211" s="15">
        <f>IF(A211="","",N211-O211)</f>
        <v/>
      </c>
      <c r="Q211" s="10" t="n"/>
      <c r="R211" s="10" t="n"/>
      <c r="S211" s="16">
        <f>IF(ISNUMBER(D211),D211+TIME(3,0,0),"")</f>
        <v/>
      </c>
      <c r="T211" s="10" t="n"/>
      <c r="U211" s="17">
        <f>IF(OR(B211="",COUNT(D211:E211)&lt;2,E211&lt;D211,F211="Отменена"),0,MAX(0,MIN(E211,Сводка!$B$4)-MAX(D211,Сводка!$B$2)))</f>
        <v/>
      </c>
    </row>
    <row r="212">
      <c r="A212" s="9" t="n"/>
      <c r="B212" s="10" t="n"/>
      <c r="C212" s="10" t="n"/>
      <c r="D212" s="11" t="n"/>
      <c r="E212" s="11" t="n"/>
      <c r="F212" s="10" t="n"/>
      <c r="G212" s="12">
        <f>IF(B212="","",IF(OR(COUNT(D212:E212)&lt;2,E212&lt;D212),"Проверьте даты",IF(OR(F212="Отменена",F212="Возвращена"),"",IF(SUMPRODUCT(($B$2:$B$500=B212)*($D$2:$D$500&lt;=E212)*($E$2:$E$500&gt;=D212)*($F$2:$F$500&lt;&gt;"Отменена")*($F$2:$F$500&lt;&gt;"Возвращена"))&gt;1,"Пересечение","ОК"))))</f>
        <v/>
      </c>
      <c r="H212" s="12">
        <f>IF(OR(B212="",D212=""),"",IF(AND(OR(F212="Выдана",F212="Возвращена"),SUMPRODUCT(($B$2:$B$500=B212)*($D$2:$D$500=D212)*(($F$2:$F$500="Выдана")+($F$2:$F$500="Возвращена")))&gt;1),"Дубль",""))</f>
        <v/>
      </c>
      <c r="I212" s="13">
        <f>IF(OR(B212="",COUNT(D212:E212)&lt;2,E212&lt;D212),"",IF(Настройки!$B$6=Настройки!$M$3,INT(E212)-INT(D212)+1,ROUNDUP(ROUND((E212-D212)*24,2)/24,0)))</f>
        <v/>
      </c>
      <c r="J212" s="14" t="n"/>
      <c r="K212" s="15">
        <f>IF(OR(I212="",J212=""),"",IF(F212="Отменена",0,ROUND(I212*J212,2)))</f>
        <v/>
      </c>
      <c r="L212" s="15">
        <f>IF(K212="","",ROUND(K212*Настройки!$B$5,2))</f>
        <v/>
      </c>
      <c r="M212" s="15">
        <f>IF(A212="","",SUMIFS(Начисления!$M$2:$M$1000,Начисления!$F$2:$F$1000,A212))</f>
        <v/>
      </c>
      <c r="N212" s="15">
        <f>IF(A212="","",SUM(K212:M212))</f>
        <v/>
      </c>
      <c r="O212" s="14" t="n"/>
      <c r="P212" s="15">
        <f>IF(A212="","",N212-O212)</f>
        <v/>
      </c>
      <c r="Q212" s="10" t="n"/>
      <c r="R212" s="10" t="n"/>
      <c r="S212" s="16">
        <f>IF(ISNUMBER(D212),D212+TIME(3,0,0),"")</f>
        <v/>
      </c>
      <c r="T212" s="10" t="n"/>
      <c r="U212" s="17">
        <f>IF(OR(B212="",COUNT(D212:E212)&lt;2,E212&lt;D212,F212="Отменена"),0,MAX(0,MIN(E212,Сводка!$B$4)-MAX(D212,Сводка!$B$2)))</f>
        <v/>
      </c>
    </row>
    <row r="213">
      <c r="A213" s="9" t="n"/>
      <c r="B213" s="10" t="n"/>
      <c r="C213" s="10" t="n"/>
      <c r="D213" s="11" t="n"/>
      <c r="E213" s="11" t="n"/>
      <c r="F213" s="10" t="n"/>
      <c r="G213" s="12">
        <f>IF(B213="","",IF(OR(COUNT(D213:E213)&lt;2,E213&lt;D213),"Проверьте даты",IF(OR(F213="Отменена",F213="Возвращена"),"",IF(SUMPRODUCT(($B$2:$B$500=B213)*($D$2:$D$500&lt;=E213)*($E$2:$E$500&gt;=D213)*($F$2:$F$500&lt;&gt;"Отменена")*($F$2:$F$500&lt;&gt;"Возвращена"))&gt;1,"Пересечение","ОК"))))</f>
        <v/>
      </c>
      <c r="H213" s="12">
        <f>IF(OR(B213="",D213=""),"",IF(AND(OR(F213="Выдана",F213="Возвращена"),SUMPRODUCT(($B$2:$B$500=B213)*($D$2:$D$500=D213)*(($F$2:$F$500="Выдана")+($F$2:$F$500="Возвращена")))&gt;1),"Дубль",""))</f>
        <v/>
      </c>
      <c r="I213" s="13">
        <f>IF(OR(B213="",COUNT(D213:E213)&lt;2,E213&lt;D213),"",IF(Настройки!$B$6=Настройки!$M$3,INT(E213)-INT(D213)+1,ROUNDUP(ROUND((E213-D213)*24,2)/24,0)))</f>
        <v/>
      </c>
      <c r="J213" s="14" t="n"/>
      <c r="K213" s="15">
        <f>IF(OR(I213="",J213=""),"",IF(F213="Отменена",0,ROUND(I213*J213,2)))</f>
        <v/>
      </c>
      <c r="L213" s="15">
        <f>IF(K213="","",ROUND(K213*Настройки!$B$5,2))</f>
        <v/>
      </c>
      <c r="M213" s="15">
        <f>IF(A213="","",SUMIFS(Начисления!$M$2:$M$1000,Начисления!$F$2:$F$1000,A213))</f>
        <v/>
      </c>
      <c r="N213" s="15">
        <f>IF(A213="","",SUM(K213:M213))</f>
        <v/>
      </c>
      <c r="O213" s="14" t="n"/>
      <c r="P213" s="15">
        <f>IF(A213="","",N213-O213)</f>
        <v/>
      </c>
      <c r="Q213" s="10" t="n"/>
      <c r="R213" s="10" t="n"/>
      <c r="S213" s="16">
        <f>IF(ISNUMBER(D213),D213+TIME(3,0,0),"")</f>
        <v/>
      </c>
      <c r="T213" s="10" t="n"/>
      <c r="U213" s="17">
        <f>IF(OR(B213="",COUNT(D213:E213)&lt;2,E213&lt;D213,F213="Отменена"),0,MAX(0,MIN(E213,Сводка!$B$4)-MAX(D213,Сводка!$B$2)))</f>
        <v/>
      </c>
    </row>
    <row r="214">
      <c r="A214" s="9" t="n"/>
      <c r="B214" s="10" t="n"/>
      <c r="C214" s="10" t="n"/>
      <c r="D214" s="11" t="n"/>
      <c r="E214" s="11" t="n"/>
      <c r="F214" s="10" t="n"/>
      <c r="G214" s="12">
        <f>IF(B214="","",IF(OR(COUNT(D214:E214)&lt;2,E214&lt;D214),"Проверьте даты",IF(OR(F214="Отменена",F214="Возвращена"),"",IF(SUMPRODUCT(($B$2:$B$500=B214)*($D$2:$D$500&lt;=E214)*($E$2:$E$500&gt;=D214)*($F$2:$F$500&lt;&gt;"Отменена")*($F$2:$F$500&lt;&gt;"Возвращена"))&gt;1,"Пересечение","ОК"))))</f>
        <v/>
      </c>
      <c r="H214" s="12">
        <f>IF(OR(B214="",D214=""),"",IF(AND(OR(F214="Выдана",F214="Возвращена"),SUMPRODUCT(($B$2:$B$500=B214)*($D$2:$D$500=D214)*(($F$2:$F$500="Выдана")+($F$2:$F$500="Возвращена")))&gt;1),"Дубль",""))</f>
        <v/>
      </c>
      <c r="I214" s="13">
        <f>IF(OR(B214="",COUNT(D214:E214)&lt;2,E214&lt;D214),"",IF(Настройки!$B$6=Настройки!$M$3,INT(E214)-INT(D214)+1,ROUNDUP(ROUND((E214-D214)*24,2)/24,0)))</f>
        <v/>
      </c>
      <c r="J214" s="14" t="n"/>
      <c r="K214" s="15">
        <f>IF(OR(I214="",J214=""),"",IF(F214="Отменена",0,ROUND(I214*J214,2)))</f>
        <v/>
      </c>
      <c r="L214" s="15">
        <f>IF(K214="","",ROUND(K214*Настройки!$B$5,2))</f>
        <v/>
      </c>
      <c r="M214" s="15">
        <f>IF(A214="","",SUMIFS(Начисления!$M$2:$M$1000,Начисления!$F$2:$F$1000,A214))</f>
        <v/>
      </c>
      <c r="N214" s="15">
        <f>IF(A214="","",SUM(K214:M214))</f>
        <v/>
      </c>
      <c r="O214" s="14" t="n"/>
      <c r="P214" s="15">
        <f>IF(A214="","",N214-O214)</f>
        <v/>
      </c>
      <c r="Q214" s="10" t="n"/>
      <c r="R214" s="10" t="n"/>
      <c r="S214" s="16">
        <f>IF(ISNUMBER(D214),D214+TIME(3,0,0),"")</f>
        <v/>
      </c>
      <c r="T214" s="10" t="n"/>
      <c r="U214" s="17">
        <f>IF(OR(B214="",COUNT(D214:E214)&lt;2,E214&lt;D214,F214="Отменена"),0,MAX(0,MIN(E214,Сводка!$B$4)-MAX(D214,Сводка!$B$2)))</f>
        <v/>
      </c>
    </row>
    <row r="215">
      <c r="A215" s="9" t="n"/>
      <c r="B215" s="10" t="n"/>
      <c r="C215" s="10" t="n"/>
      <c r="D215" s="11" t="n"/>
      <c r="E215" s="11" t="n"/>
      <c r="F215" s="10" t="n"/>
      <c r="G215" s="12">
        <f>IF(B215="","",IF(OR(COUNT(D215:E215)&lt;2,E215&lt;D215),"Проверьте даты",IF(OR(F215="Отменена",F215="Возвращена"),"",IF(SUMPRODUCT(($B$2:$B$500=B215)*($D$2:$D$500&lt;=E215)*($E$2:$E$500&gt;=D215)*($F$2:$F$500&lt;&gt;"Отменена")*($F$2:$F$500&lt;&gt;"Возвращена"))&gt;1,"Пересечение","ОК"))))</f>
        <v/>
      </c>
      <c r="H215" s="12">
        <f>IF(OR(B215="",D215=""),"",IF(AND(OR(F215="Выдана",F215="Возвращена"),SUMPRODUCT(($B$2:$B$500=B215)*($D$2:$D$500=D215)*(($F$2:$F$500="Выдана")+($F$2:$F$500="Возвращена")))&gt;1),"Дубль",""))</f>
        <v/>
      </c>
      <c r="I215" s="13">
        <f>IF(OR(B215="",COUNT(D215:E215)&lt;2,E215&lt;D215),"",IF(Настройки!$B$6=Настройки!$M$3,INT(E215)-INT(D215)+1,ROUNDUP(ROUND((E215-D215)*24,2)/24,0)))</f>
        <v/>
      </c>
      <c r="J215" s="14" t="n"/>
      <c r="K215" s="15">
        <f>IF(OR(I215="",J215=""),"",IF(F215="Отменена",0,ROUND(I215*J215,2)))</f>
        <v/>
      </c>
      <c r="L215" s="15">
        <f>IF(K215="","",ROUND(K215*Настройки!$B$5,2))</f>
        <v/>
      </c>
      <c r="M215" s="15">
        <f>IF(A215="","",SUMIFS(Начисления!$M$2:$M$1000,Начисления!$F$2:$F$1000,A215))</f>
        <v/>
      </c>
      <c r="N215" s="15">
        <f>IF(A215="","",SUM(K215:M215))</f>
        <v/>
      </c>
      <c r="O215" s="14" t="n"/>
      <c r="P215" s="15">
        <f>IF(A215="","",N215-O215)</f>
        <v/>
      </c>
      <c r="Q215" s="10" t="n"/>
      <c r="R215" s="10" t="n"/>
      <c r="S215" s="16">
        <f>IF(ISNUMBER(D215),D215+TIME(3,0,0),"")</f>
        <v/>
      </c>
      <c r="T215" s="10" t="n"/>
      <c r="U215" s="17">
        <f>IF(OR(B215="",COUNT(D215:E215)&lt;2,E215&lt;D215,F215="Отменена"),0,MAX(0,MIN(E215,Сводка!$B$4)-MAX(D215,Сводка!$B$2)))</f>
        <v/>
      </c>
    </row>
    <row r="216">
      <c r="A216" s="9" t="n"/>
      <c r="B216" s="10" t="n"/>
      <c r="C216" s="10" t="n"/>
      <c r="D216" s="11" t="n"/>
      <c r="E216" s="11" t="n"/>
      <c r="F216" s="10" t="n"/>
      <c r="G216" s="12">
        <f>IF(B216="","",IF(OR(COUNT(D216:E216)&lt;2,E216&lt;D216),"Проверьте даты",IF(OR(F216="Отменена",F216="Возвращена"),"",IF(SUMPRODUCT(($B$2:$B$500=B216)*($D$2:$D$500&lt;=E216)*($E$2:$E$500&gt;=D216)*($F$2:$F$500&lt;&gt;"Отменена")*($F$2:$F$500&lt;&gt;"Возвращена"))&gt;1,"Пересечение","ОК"))))</f>
        <v/>
      </c>
      <c r="H216" s="12">
        <f>IF(OR(B216="",D216=""),"",IF(AND(OR(F216="Выдана",F216="Возвращена"),SUMPRODUCT(($B$2:$B$500=B216)*($D$2:$D$500=D216)*(($F$2:$F$500="Выдана")+($F$2:$F$500="Возвращена")))&gt;1),"Дубль",""))</f>
        <v/>
      </c>
      <c r="I216" s="13">
        <f>IF(OR(B216="",COUNT(D216:E216)&lt;2,E216&lt;D216),"",IF(Настройки!$B$6=Настройки!$M$3,INT(E216)-INT(D216)+1,ROUNDUP(ROUND((E216-D216)*24,2)/24,0)))</f>
        <v/>
      </c>
      <c r="J216" s="14" t="n"/>
      <c r="K216" s="15">
        <f>IF(OR(I216="",J216=""),"",IF(F216="Отменена",0,ROUND(I216*J216,2)))</f>
        <v/>
      </c>
      <c r="L216" s="15">
        <f>IF(K216="","",ROUND(K216*Настройки!$B$5,2))</f>
        <v/>
      </c>
      <c r="M216" s="15">
        <f>IF(A216="","",SUMIFS(Начисления!$M$2:$M$1000,Начисления!$F$2:$F$1000,A216))</f>
        <v/>
      </c>
      <c r="N216" s="15">
        <f>IF(A216="","",SUM(K216:M216))</f>
        <v/>
      </c>
      <c r="O216" s="14" t="n"/>
      <c r="P216" s="15">
        <f>IF(A216="","",N216-O216)</f>
        <v/>
      </c>
      <c r="Q216" s="10" t="n"/>
      <c r="R216" s="10" t="n"/>
      <c r="S216" s="16">
        <f>IF(ISNUMBER(D216),D216+TIME(3,0,0),"")</f>
        <v/>
      </c>
      <c r="T216" s="10" t="n"/>
      <c r="U216" s="17">
        <f>IF(OR(B216="",COUNT(D216:E216)&lt;2,E216&lt;D216,F216="Отменена"),0,MAX(0,MIN(E216,Сводка!$B$4)-MAX(D216,Сводка!$B$2)))</f>
        <v/>
      </c>
    </row>
    <row r="217">
      <c r="A217" s="9" t="n"/>
      <c r="B217" s="10" t="n"/>
      <c r="C217" s="10" t="n"/>
      <c r="D217" s="11" t="n"/>
      <c r="E217" s="11" t="n"/>
      <c r="F217" s="10" t="n"/>
      <c r="G217" s="12">
        <f>IF(B217="","",IF(OR(COUNT(D217:E217)&lt;2,E217&lt;D217),"Проверьте даты",IF(OR(F217="Отменена",F217="Возвращена"),"",IF(SUMPRODUCT(($B$2:$B$500=B217)*($D$2:$D$500&lt;=E217)*($E$2:$E$500&gt;=D217)*($F$2:$F$500&lt;&gt;"Отменена")*($F$2:$F$500&lt;&gt;"Возвращена"))&gt;1,"Пересечение","ОК"))))</f>
        <v/>
      </c>
      <c r="H217" s="12">
        <f>IF(OR(B217="",D217=""),"",IF(AND(OR(F217="Выдана",F217="Возвращена"),SUMPRODUCT(($B$2:$B$500=B217)*($D$2:$D$500=D217)*(($F$2:$F$500="Выдана")+($F$2:$F$500="Возвращена")))&gt;1),"Дубль",""))</f>
        <v/>
      </c>
      <c r="I217" s="13">
        <f>IF(OR(B217="",COUNT(D217:E217)&lt;2,E217&lt;D217),"",IF(Настройки!$B$6=Настройки!$M$3,INT(E217)-INT(D217)+1,ROUNDUP(ROUND((E217-D217)*24,2)/24,0)))</f>
        <v/>
      </c>
      <c r="J217" s="14" t="n"/>
      <c r="K217" s="15">
        <f>IF(OR(I217="",J217=""),"",IF(F217="Отменена",0,ROUND(I217*J217,2)))</f>
        <v/>
      </c>
      <c r="L217" s="15">
        <f>IF(K217="","",ROUND(K217*Настройки!$B$5,2))</f>
        <v/>
      </c>
      <c r="M217" s="15">
        <f>IF(A217="","",SUMIFS(Начисления!$M$2:$M$1000,Начисления!$F$2:$F$1000,A217))</f>
        <v/>
      </c>
      <c r="N217" s="15">
        <f>IF(A217="","",SUM(K217:M217))</f>
        <v/>
      </c>
      <c r="O217" s="14" t="n"/>
      <c r="P217" s="15">
        <f>IF(A217="","",N217-O217)</f>
        <v/>
      </c>
      <c r="Q217" s="10" t="n"/>
      <c r="R217" s="10" t="n"/>
      <c r="S217" s="16">
        <f>IF(ISNUMBER(D217),D217+TIME(3,0,0),"")</f>
        <v/>
      </c>
      <c r="T217" s="10" t="n"/>
      <c r="U217" s="17">
        <f>IF(OR(B217="",COUNT(D217:E217)&lt;2,E217&lt;D217,F217="Отменена"),0,MAX(0,MIN(E217,Сводка!$B$4)-MAX(D217,Сводка!$B$2)))</f>
        <v/>
      </c>
    </row>
    <row r="218">
      <c r="A218" s="9" t="n"/>
      <c r="B218" s="10" t="n"/>
      <c r="C218" s="10" t="n"/>
      <c r="D218" s="11" t="n"/>
      <c r="E218" s="11" t="n"/>
      <c r="F218" s="10" t="n"/>
      <c r="G218" s="12">
        <f>IF(B218="","",IF(OR(COUNT(D218:E218)&lt;2,E218&lt;D218),"Проверьте даты",IF(OR(F218="Отменена",F218="Возвращена"),"",IF(SUMPRODUCT(($B$2:$B$500=B218)*($D$2:$D$500&lt;=E218)*($E$2:$E$500&gt;=D218)*($F$2:$F$500&lt;&gt;"Отменена")*($F$2:$F$500&lt;&gt;"Возвращена"))&gt;1,"Пересечение","ОК"))))</f>
        <v/>
      </c>
      <c r="H218" s="12">
        <f>IF(OR(B218="",D218=""),"",IF(AND(OR(F218="Выдана",F218="Возвращена"),SUMPRODUCT(($B$2:$B$500=B218)*($D$2:$D$500=D218)*(($F$2:$F$500="Выдана")+($F$2:$F$500="Возвращена")))&gt;1),"Дубль",""))</f>
        <v/>
      </c>
      <c r="I218" s="13">
        <f>IF(OR(B218="",COUNT(D218:E218)&lt;2,E218&lt;D218),"",IF(Настройки!$B$6=Настройки!$M$3,INT(E218)-INT(D218)+1,ROUNDUP(ROUND((E218-D218)*24,2)/24,0)))</f>
        <v/>
      </c>
      <c r="J218" s="14" t="n"/>
      <c r="K218" s="15">
        <f>IF(OR(I218="",J218=""),"",IF(F218="Отменена",0,ROUND(I218*J218,2)))</f>
        <v/>
      </c>
      <c r="L218" s="15">
        <f>IF(K218="","",ROUND(K218*Настройки!$B$5,2))</f>
        <v/>
      </c>
      <c r="M218" s="15">
        <f>IF(A218="","",SUMIFS(Начисления!$M$2:$M$1000,Начисления!$F$2:$F$1000,A218))</f>
        <v/>
      </c>
      <c r="N218" s="15">
        <f>IF(A218="","",SUM(K218:M218))</f>
        <v/>
      </c>
      <c r="O218" s="14" t="n"/>
      <c r="P218" s="15">
        <f>IF(A218="","",N218-O218)</f>
        <v/>
      </c>
      <c r="Q218" s="10" t="n"/>
      <c r="R218" s="10" t="n"/>
      <c r="S218" s="16">
        <f>IF(ISNUMBER(D218),D218+TIME(3,0,0),"")</f>
        <v/>
      </c>
      <c r="T218" s="10" t="n"/>
      <c r="U218" s="17">
        <f>IF(OR(B218="",COUNT(D218:E218)&lt;2,E218&lt;D218,F218="Отменена"),0,MAX(0,MIN(E218,Сводка!$B$4)-MAX(D218,Сводка!$B$2)))</f>
        <v/>
      </c>
    </row>
    <row r="219">
      <c r="A219" s="9" t="n"/>
      <c r="B219" s="10" t="n"/>
      <c r="C219" s="10" t="n"/>
      <c r="D219" s="11" t="n"/>
      <c r="E219" s="11" t="n"/>
      <c r="F219" s="10" t="n"/>
      <c r="G219" s="12">
        <f>IF(B219="","",IF(OR(COUNT(D219:E219)&lt;2,E219&lt;D219),"Проверьте даты",IF(OR(F219="Отменена",F219="Возвращена"),"",IF(SUMPRODUCT(($B$2:$B$500=B219)*($D$2:$D$500&lt;=E219)*($E$2:$E$500&gt;=D219)*($F$2:$F$500&lt;&gt;"Отменена")*($F$2:$F$500&lt;&gt;"Возвращена"))&gt;1,"Пересечение","ОК"))))</f>
        <v/>
      </c>
      <c r="H219" s="12">
        <f>IF(OR(B219="",D219=""),"",IF(AND(OR(F219="Выдана",F219="Возвращена"),SUMPRODUCT(($B$2:$B$500=B219)*($D$2:$D$500=D219)*(($F$2:$F$500="Выдана")+($F$2:$F$500="Возвращена")))&gt;1),"Дубль",""))</f>
        <v/>
      </c>
      <c r="I219" s="13">
        <f>IF(OR(B219="",COUNT(D219:E219)&lt;2,E219&lt;D219),"",IF(Настройки!$B$6=Настройки!$M$3,INT(E219)-INT(D219)+1,ROUNDUP(ROUND((E219-D219)*24,2)/24,0)))</f>
        <v/>
      </c>
      <c r="J219" s="14" t="n"/>
      <c r="K219" s="15">
        <f>IF(OR(I219="",J219=""),"",IF(F219="Отменена",0,ROUND(I219*J219,2)))</f>
        <v/>
      </c>
      <c r="L219" s="15">
        <f>IF(K219="","",ROUND(K219*Настройки!$B$5,2))</f>
        <v/>
      </c>
      <c r="M219" s="15">
        <f>IF(A219="","",SUMIFS(Начисления!$M$2:$M$1000,Начисления!$F$2:$F$1000,A219))</f>
        <v/>
      </c>
      <c r="N219" s="15">
        <f>IF(A219="","",SUM(K219:M219))</f>
        <v/>
      </c>
      <c r="O219" s="14" t="n"/>
      <c r="P219" s="15">
        <f>IF(A219="","",N219-O219)</f>
        <v/>
      </c>
      <c r="Q219" s="10" t="n"/>
      <c r="R219" s="10" t="n"/>
      <c r="S219" s="16">
        <f>IF(ISNUMBER(D219),D219+TIME(3,0,0),"")</f>
        <v/>
      </c>
      <c r="T219" s="10" t="n"/>
      <c r="U219" s="17">
        <f>IF(OR(B219="",COUNT(D219:E219)&lt;2,E219&lt;D219,F219="Отменена"),0,MAX(0,MIN(E219,Сводка!$B$4)-MAX(D219,Сводка!$B$2)))</f>
        <v/>
      </c>
    </row>
    <row r="220">
      <c r="A220" s="9" t="n"/>
      <c r="B220" s="10" t="n"/>
      <c r="C220" s="10" t="n"/>
      <c r="D220" s="11" t="n"/>
      <c r="E220" s="11" t="n"/>
      <c r="F220" s="10" t="n"/>
      <c r="G220" s="12">
        <f>IF(B220="","",IF(OR(COUNT(D220:E220)&lt;2,E220&lt;D220),"Проверьте даты",IF(OR(F220="Отменена",F220="Возвращена"),"",IF(SUMPRODUCT(($B$2:$B$500=B220)*($D$2:$D$500&lt;=E220)*($E$2:$E$500&gt;=D220)*($F$2:$F$500&lt;&gt;"Отменена")*($F$2:$F$500&lt;&gt;"Возвращена"))&gt;1,"Пересечение","ОК"))))</f>
        <v/>
      </c>
      <c r="H220" s="12">
        <f>IF(OR(B220="",D220=""),"",IF(AND(OR(F220="Выдана",F220="Возвращена"),SUMPRODUCT(($B$2:$B$500=B220)*($D$2:$D$500=D220)*(($F$2:$F$500="Выдана")+($F$2:$F$500="Возвращена")))&gt;1),"Дубль",""))</f>
        <v/>
      </c>
      <c r="I220" s="13">
        <f>IF(OR(B220="",COUNT(D220:E220)&lt;2,E220&lt;D220),"",IF(Настройки!$B$6=Настройки!$M$3,INT(E220)-INT(D220)+1,ROUNDUP(ROUND((E220-D220)*24,2)/24,0)))</f>
        <v/>
      </c>
      <c r="J220" s="14" t="n"/>
      <c r="K220" s="15">
        <f>IF(OR(I220="",J220=""),"",IF(F220="Отменена",0,ROUND(I220*J220,2)))</f>
        <v/>
      </c>
      <c r="L220" s="15">
        <f>IF(K220="","",ROUND(K220*Настройки!$B$5,2))</f>
        <v/>
      </c>
      <c r="M220" s="15">
        <f>IF(A220="","",SUMIFS(Начисления!$M$2:$M$1000,Начисления!$F$2:$F$1000,A220))</f>
        <v/>
      </c>
      <c r="N220" s="15">
        <f>IF(A220="","",SUM(K220:M220))</f>
        <v/>
      </c>
      <c r="O220" s="14" t="n"/>
      <c r="P220" s="15">
        <f>IF(A220="","",N220-O220)</f>
        <v/>
      </c>
      <c r="Q220" s="10" t="n"/>
      <c r="R220" s="10" t="n"/>
      <c r="S220" s="16">
        <f>IF(ISNUMBER(D220),D220+TIME(3,0,0),"")</f>
        <v/>
      </c>
      <c r="T220" s="10" t="n"/>
      <c r="U220" s="17">
        <f>IF(OR(B220="",COUNT(D220:E220)&lt;2,E220&lt;D220,F220="Отменена"),0,MAX(0,MIN(E220,Сводка!$B$4)-MAX(D220,Сводка!$B$2)))</f>
        <v/>
      </c>
    </row>
    <row r="221">
      <c r="A221" s="9" t="n"/>
      <c r="B221" s="10" t="n"/>
      <c r="C221" s="10" t="n"/>
      <c r="D221" s="11" t="n"/>
      <c r="E221" s="11" t="n"/>
      <c r="F221" s="10" t="n"/>
      <c r="G221" s="12">
        <f>IF(B221="","",IF(OR(COUNT(D221:E221)&lt;2,E221&lt;D221),"Проверьте даты",IF(OR(F221="Отменена",F221="Возвращена"),"",IF(SUMPRODUCT(($B$2:$B$500=B221)*($D$2:$D$500&lt;=E221)*($E$2:$E$500&gt;=D221)*($F$2:$F$500&lt;&gt;"Отменена")*($F$2:$F$500&lt;&gt;"Возвращена"))&gt;1,"Пересечение","ОК"))))</f>
        <v/>
      </c>
      <c r="H221" s="12">
        <f>IF(OR(B221="",D221=""),"",IF(AND(OR(F221="Выдана",F221="Возвращена"),SUMPRODUCT(($B$2:$B$500=B221)*($D$2:$D$500=D221)*(($F$2:$F$500="Выдана")+($F$2:$F$500="Возвращена")))&gt;1),"Дубль",""))</f>
        <v/>
      </c>
      <c r="I221" s="13">
        <f>IF(OR(B221="",COUNT(D221:E221)&lt;2,E221&lt;D221),"",IF(Настройки!$B$6=Настройки!$M$3,INT(E221)-INT(D221)+1,ROUNDUP(ROUND((E221-D221)*24,2)/24,0)))</f>
        <v/>
      </c>
      <c r="J221" s="14" t="n"/>
      <c r="K221" s="15">
        <f>IF(OR(I221="",J221=""),"",IF(F221="Отменена",0,ROUND(I221*J221,2)))</f>
        <v/>
      </c>
      <c r="L221" s="15">
        <f>IF(K221="","",ROUND(K221*Настройки!$B$5,2))</f>
        <v/>
      </c>
      <c r="M221" s="15">
        <f>IF(A221="","",SUMIFS(Начисления!$M$2:$M$1000,Начисления!$F$2:$F$1000,A221))</f>
        <v/>
      </c>
      <c r="N221" s="15">
        <f>IF(A221="","",SUM(K221:M221))</f>
        <v/>
      </c>
      <c r="O221" s="14" t="n"/>
      <c r="P221" s="15">
        <f>IF(A221="","",N221-O221)</f>
        <v/>
      </c>
      <c r="Q221" s="10" t="n"/>
      <c r="R221" s="10" t="n"/>
      <c r="S221" s="16">
        <f>IF(ISNUMBER(D221),D221+TIME(3,0,0),"")</f>
        <v/>
      </c>
      <c r="T221" s="10" t="n"/>
      <c r="U221" s="17">
        <f>IF(OR(B221="",COUNT(D221:E221)&lt;2,E221&lt;D221,F221="Отменена"),0,MAX(0,MIN(E221,Сводка!$B$4)-MAX(D221,Сводка!$B$2)))</f>
        <v/>
      </c>
    </row>
    <row r="222">
      <c r="A222" s="9" t="n"/>
      <c r="B222" s="10" t="n"/>
      <c r="C222" s="10" t="n"/>
      <c r="D222" s="11" t="n"/>
      <c r="E222" s="11" t="n"/>
      <c r="F222" s="10" t="n"/>
      <c r="G222" s="12">
        <f>IF(B222="","",IF(OR(COUNT(D222:E222)&lt;2,E222&lt;D222),"Проверьте даты",IF(OR(F222="Отменена",F222="Возвращена"),"",IF(SUMPRODUCT(($B$2:$B$500=B222)*($D$2:$D$500&lt;=E222)*($E$2:$E$500&gt;=D222)*($F$2:$F$500&lt;&gt;"Отменена")*($F$2:$F$500&lt;&gt;"Возвращена"))&gt;1,"Пересечение","ОК"))))</f>
        <v/>
      </c>
      <c r="H222" s="12">
        <f>IF(OR(B222="",D222=""),"",IF(AND(OR(F222="Выдана",F222="Возвращена"),SUMPRODUCT(($B$2:$B$500=B222)*($D$2:$D$500=D222)*(($F$2:$F$500="Выдана")+($F$2:$F$500="Возвращена")))&gt;1),"Дубль",""))</f>
        <v/>
      </c>
      <c r="I222" s="13">
        <f>IF(OR(B222="",COUNT(D222:E222)&lt;2,E222&lt;D222),"",IF(Настройки!$B$6=Настройки!$M$3,INT(E222)-INT(D222)+1,ROUNDUP(ROUND((E222-D222)*24,2)/24,0)))</f>
        <v/>
      </c>
      <c r="J222" s="14" t="n"/>
      <c r="K222" s="15">
        <f>IF(OR(I222="",J222=""),"",IF(F222="Отменена",0,ROUND(I222*J222,2)))</f>
        <v/>
      </c>
      <c r="L222" s="15">
        <f>IF(K222="","",ROUND(K222*Настройки!$B$5,2))</f>
        <v/>
      </c>
      <c r="M222" s="15">
        <f>IF(A222="","",SUMIFS(Начисления!$M$2:$M$1000,Начисления!$F$2:$F$1000,A222))</f>
        <v/>
      </c>
      <c r="N222" s="15">
        <f>IF(A222="","",SUM(K222:M222))</f>
        <v/>
      </c>
      <c r="O222" s="14" t="n"/>
      <c r="P222" s="15">
        <f>IF(A222="","",N222-O222)</f>
        <v/>
      </c>
      <c r="Q222" s="10" t="n"/>
      <c r="R222" s="10" t="n"/>
      <c r="S222" s="16">
        <f>IF(ISNUMBER(D222),D222+TIME(3,0,0),"")</f>
        <v/>
      </c>
      <c r="T222" s="10" t="n"/>
      <c r="U222" s="17">
        <f>IF(OR(B222="",COUNT(D222:E222)&lt;2,E222&lt;D222,F222="Отменена"),0,MAX(0,MIN(E222,Сводка!$B$4)-MAX(D222,Сводка!$B$2)))</f>
        <v/>
      </c>
    </row>
    <row r="223">
      <c r="A223" s="9" t="n"/>
      <c r="B223" s="10" t="n"/>
      <c r="C223" s="10" t="n"/>
      <c r="D223" s="11" t="n"/>
      <c r="E223" s="11" t="n"/>
      <c r="F223" s="10" t="n"/>
      <c r="G223" s="12">
        <f>IF(B223="","",IF(OR(COUNT(D223:E223)&lt;2,E223&lt;D223),"Проверьте даты",IF(OR(F223="Отменена",F223="Возвращена"),"",IF(SUMPRODUCT(($B$2:$B$500=B223)*($D$2:$D$500&lt;=E223)*($E$2:$E$500&gt;=D223)*($F$2:$F$500&lt;&gt;"Отменена")*($F$2:$F$500&lt;&gt;"Возвращена"))&gt;1,"Пересечение","ОК"))))</f>
        <v/>
      </c>
      <c r="H223" s="12">
        <f>IF(OR(B223="",D223=""),"",IF(AND(OR(F223="Выдана",F223="Возвращена"),SUMPRODUCT(($B$2:$B$500=B223)*($D$2:$D$500=D223)*(($F$2:$F$500="Выдана")+($F$2:$F$500="Возвращена")))&gt;1),"Дубль",""))</f>
        <v/>
      </c>
      <c r="I223" s="13">
        <f>IF(OR(B223="",COUNT(D223:E223)&lt;2,E223&lt;D223),"",IF(Настройки!$B$6=Настройки!$M$3,INT(E223)-INT(D223)+1,ROUNDUP(ROUND((E223-D223)*24,2)/24,0)))</f>
        <v/>
      </c>
      <c r="J223" s="14" t="n"/>
      <c r="K223" s="15">
        <f>IF(OR(I223="",J223=""),"",IF(F223="Отменена",0,ROUND(I223*J223,2)))</f>
        <v/>
      </c>
      <c r="L223" s="15">
        <f>IF(K223="","",ROUND(K223*Настройки!$B$5,2))</f>
        <v/>
      </c>
      <c r="M223" s="15">
        <f>IF(A223="","",SUMIFS(Начисления!$M$2:$M$1000,Начисления!$F$2:$F$1000,A223))</f>
        <v/>
      </c>
      <c r="N223" s="15">
        <f>IF(A223="","",SUM(K223:M223))</f>
        <v/>
      </c>
      <c r="O223" s="14" t="n"/>
      <c r="P223" s="15">
        <f>IF(A223="","",N223-O223)</f>
        <v/>
      </c>
      <c r="Q223" s="10" t="n"/>
      <c r="R223" s="10" t="n"/>
      <c r="S223" s="16">
        <f>IF(ISNUMBER(D223),D223+TIME(3,0,0),"")</f>
        <v/>
      </c>
      <c r="T223" s="10" t="n"/>
      <c r="U223" s="17">
        <f>IF(OR(B223="",COUNT(D223:E223)&lt;2,E223&lt;D223,F223="Отменена"),0,MAX(0,MIN(E223,Сводка!$B$4)-MAX(D223,Сводка!$B$2)))</f>
        <v/>
      </c>
    </row>
    <row r="224">
      <c r="A224" s="9" t="n"/>
      <c r="B224" s="10" t="n"/>
      <c r="C224" s="10" t="n"/>
      <c r="D224" s="11" t="n"/>
      <c r="E224" s="11" t="n"/>
      <c r="F224" s="10" t="n"/>
      <c r="G224" s="12">
        <f>IF(B224="","",IF(OR(COUNT(D224:E224)&lt;2,E224&lt;D224),"Проверьте даты",IF(OR(F224="Отменена",F224="Возвращена"),"",IF(SUMPRODUCT(($B$2:$B$500=B224)*($D$2:$D$500&lt;=E224)*($E$2:$E$500&gt;=D224)*($F$2:$F$500&lt;&gt;"Отменена")*($F$2:$F$500&lt;&gt;"Возвращена"))&gt;1,"Пересечение","ОК"))))</f>
        <v/>
      </c>
      <c r="H224" s="12">
        <f>IF(OR(B224="",D224=""),"",IF(AND(OR(F224="Выдана",F224="Возвращена"),SUMPRODUCT(($B$2:$B$500=B224)*($D$2:$D$500=D224)*(($F$2:$F$500="Выдана")+($F$2:$F$500="Возвращена")))&gt;1),"Дубль",""))</f>
        <v/>
      </c>
      <c r="I224" s="13">
        <f>IF(OR(B224="",COUNT(D224:E224)&lt;2,E224&lt;D224),"",IF(Настройки!$B$6=Настройки!$M$3,INT(E224)-INT(D224)+1,ROUNDUP(ROUND((E224-D224)*24,2)/24,0)))</f>
        <v/>
      </c>
      <c r="J224" s="14" t="n"/>
      <c r="K224" s="15">
        <f>IF(OR(I224="",J224=""),"",IF(F224="Отменена",0,ROUND(I224*J224,2)))</f>
        <v/>
      </c>
      <c r="L224" s="15">
        <f>IF(K224="","",ROUND(K224*Настройки!$B$5,2))</f>
        <v/>
      </c>
      <c r="M224" s="15">
        <f>IF(A224="","",SUMIFS(Начисления!$M$2:$M$1000,Начисления!$F$2:$F$1000,A224))</f>
        <v/>
      </c>
      <c r="N224" s="15">
        <f>IF(A224="","",SUM(K224:M224))</f>
        <v/>
      </c>
      <c r="O224" s="14" t="n"/>
      <c r="P224" s="15">
        <f>IF(A224="","",N224-O224)</f>
        <v/>
      </c>
      <c r="Q224" s="10" t="n"/>
      <c r="R224" s="10" t="n"/>
      <c r="S224" s="16">
        <f>IF(ISNUMBER(D224),D224+TIME(3,0,0),"")</f>
        <v/>
      </c>
      <c r="T224" s="10" t="n"/>
      <c r="U224" s="17">
        <f>IF(OR(B224="",COUNT(D224:E224)&lt;2,E224&lt;D224,F224="Отменена"),0,MAX(0,MIN(E224,Сводка!$B$4)-MAX(D224,Сводка!$B$2)))</f>
        <v/>
      </c>
    </row>
    <row r="225">
      <c r="A225" s="9" t="n"/>
      <c r="B225" s="10" t="n"/>
      <c r="C225" s="10" t="n"/>
      <c r="D225" s="11" t="n"/>
      <c r="E225" s="11" t="n"/>
      <c r="F225" s="10" t="n"/>
      <c r="G225" s="12">
        <f>IF(B225="","",IF(OR(COUNT(D225:E225)&lt;2,E225&lt;D225),"Проверьте даты",IF(OR(F225="Отменена",F225="Возвращена"),"",IF(SUMPRODUCT(($B$2:$B$500=B225)*($D$2:$D$500&lt;=E225)*($E$2:$E$500&gt;=D225)*($F$2:$F$500&lt;&gt;"Отменена")*($F$2:$F$500&lt;&gt;"Возвращена"))&gt;1,"Пересечение","ОК"))))</f>
        <v/>
      </c>
      <c r="H225" s="12">
        <f>IF(OR(B225="",D225=""),"",IF(AND(OR(F225="Выдана",F225="Возвращена"),SUMPRODUCT(($B$2:$B$500=B225)*($D$2:$D$500=D225)*(($F$2:$F$500="Выдана")+($F$2:$F$500="Возвращена")))&gt;1),"Дубль",""))</f>
        <v/>
      </c>
      <c r="I225" s="13">
        <f>IF(OR(B225="",COUNT(D225:E225)&lt;2,E225&lt;D225),"",IF(Настройки!$B$6=Настройки!$M$3,INT(E225)-INT(D225)+1,ROUNDUP(ROUND((E225-D225)*24,2)/24,0)))</f>
        <v/>
      </c>
      <c r="J225" s="14" t="n"/>
      <c r="K225" s="15">
        <f>IF(OR(I225="",J225=""),"",IF(F225="Отменена",0,ROUND(I225*J225,2)))</f>
        <v/>
      </c>
      <c r="L225" s="15">
        <f>IF(K225="","",ROUND(K225*Настройки!$B$5,2))</f>
        <v/>
      </c>
      <c r="M225" s="15">
        <f>IF(A225="","",SUMIFS(Начисления!$M$2:$M$1000,Начисления!$F$2:$F$1000,A225))</f>
        <v/>
      </c>
      <c r="N225" s="15">
        <f>IF(A225="","",SUM(K225:M225))</f>
        <v/>
      </c>
      <c r="O225" s="14" t="n"/>
      <c r="P225" s="15">
        <f>IF(A225="","",N225-O225)</f>
        <v/>
      </c>
      <c r="Q225" s="10" t="n"/>
      <c r="R225" s="10" t="n"/>
      <c r="S225" s="16">
        <f>IF(ISNUMBER(D225),D225+TIME(3,0,0),"")</f>
        <v/>
      </c>
      <c r="T225" s="10" t="n"/>
      <c r="U225" s="17">
        <f>IF(OR(B225="",COUNT(D225:E225)&lt;2,E225&lt;D225,F225="Отменена"),0,MAX(0,MIN(E225,Сводка!$B$4)-MAX(D225,Сводка!$B$2)))</f>
        <v/>
      </c>
    </row>
    <row r="226">
      <c r="A226" s="9" t="n"/>
      <c r="B226" s="10" t="n"/>
      <c r="C226" s="10" t="n"/>
      <c r="D226" s="11" t="n"/>
      <c r="E226" s="11" t="n"/>
      <c r="F226" s="10" t="n"/>
      <c r="G226" s="12">
        <f>IF(B226="","",IF(OR(COUNT(D226:E226)&lt;2,E226&lt;D226),"Проверьте даты",IF(OR(F226="Отменена",F226="Возвращена"),"",IF(SUMPRODUCT(($B$2:$B$500=B226)*($D$2:$D$500&lt;=E226)*($E$2:$E$500&gt;=D226)*($F$2:$F$500&lt;&gt;"Отменена")*($F$2:$F$500&lt;&gt;"Возвращена"))&gt;1,"Пересечение","ОК"))))</f>
        <v/>
      </c>
      <c r="H226" s="12">
        <f>IF(OR(B226="",D226=""),"",IF(AND(OR(F226="Выдана",F226="Возвращена"),SUMPRODUCT(($B$2:$B$500=B226)*($D$2:$D$500=D226)*(($F$2:$F$500="Выдана")+($F$2:$F$500="Возвращена")))&gt;1),"Дубль",""))</f>
        <v/>
      </c>
      <c r="I226" s="13">
        <f>IF(OR(B226="",COUNT(D226:E226)&lt;2,E226&lt;D226),"",IF(Настройки!$B$6=Настройки!$M$3,INT(E226)-INT(D226)+1,ROUNDUP(ROUND((E226-D226)*24,2)/24,0)))</f>
        <v/>
      </c>
      <c r="J226" s="14" t="n"/>
      <c r="K226" s="15">
        <f>IF(OR(I226="",J226=""),"",IF(F226="Отменена",0,ROUND(I226*J226,2)))</f>
        <v/>
      </c>
      <c r="L226" s="15">
        <f>IF(K226="","",ROUND(K226*Настройки!$B$5,2))</f>
        <v/>
      </c>
      <c r="M226" s="15">
        <f>IF(A226="","",SUMIFS(Начисления!$M$2:$M$1000,Начисления!$F$2:$F$1000,A226))</f>
        <v/>
      </c>
      <c r="N226" s="15">
        <f>IF(A226="","",SUM(K226:M226))</f>
        <v/>
      </c>
      <c r="O226" s="14" t="n"/>
      <c r="P226" s="15">
        <f>IF(A226="","",N226-O226)</f>
        <v/>
      </c>
      <c r="Q226" s="10" t="n"/>
      <c r="R226" s="10" t="n"/>
      <c r="S226" s="16">
        <f>IF(ISNUMBER(D226),D226+TIME(3,0,0),"")</f>
        <v/>
      </c>
      <c r="T226" s="10" t="n"/>
      <c r="U226" s="17">
        <f>IF(OR(B226="",COUNT(D226:E226)&lt;2,E226&lt;D226,F226="Отменена"),0,MAX(0,MIN(E226,Сводка!$B$4)-MAX(D226,Сводка!$B$2)))</f>
        <v/>
      </c>
    </row>
    <row r="227">
      <c r="A227" s="9" t="n"/>
      <c r="B227" s="10" t="n"/>
      <c r="C227" s="10" t="n"/>
      <c r="D227" s="11" t="n"/>
      <c r="E227" s="11" t="n"/>
      <c r="F227" s="10" t="n"/>
      <c r="G227" s="12">
        <f>IF(B227="","",IF(OR(COUNT(D227:E227)&lt;2,E227&lt;D227),"Проверьте даты",IF(OR(F227="Отменена",F227="Возвращена"),"",IF(SUMPRODUCT(($B$2:$B$500=B227)*($D$2:$D$500&lt;=E227)*($E$2:$E$500&gt;=D227)*($F$2:$F$500&lt;&gt;"Отменена")*($F$2:$F$500&lt;&gt;"Возвращена"))&gt;1,"Пересечение","ОК"))))</f>
        <v/>
      </c>
      <c r="H227" s="12">
        <f>IF(OR(B227="",D227=""),"",IF(AND(OR(F227="Выдана",F227="Возвращена"),SUMPRODUCT(($B$2:$B$500=B227)*($D$2:$D$500=D227)*(($F$2:$F$500="Выдана")+($F$2:$F$500="Возвращена")))&gt;1),"Дубль",""))</f>
        <v/>
      </c>
      <c r="I227" s="13">
        <f>IF(OR(B227="",COUNT(D227:E227)&lt;2,E227&lt;D227),"",IF(Настройки!$B$6=Настройки!$M$3,INT(E227)-INT(D227)+1,ROUNDUP(ROUND((E227-D227)*24,2)/24,0)))</f>
        <v/>
      </c>
      <c r="J227" s="14" t="n"/>
      <c r="K227" s="15">
        <f>IF(OR(I227="",J227=""),"",IF(F227="Отменена",0,ROUND(I227*J227,2)))</f>
        <v/>
      </c>
      <c r="L227" s="15">
        <f>IF(K227="","",ROUND(K227*Настройки!$B$5,2))</f>
        <v/>
      </c>
      <c r="M227" s="15">
        <f>IF(A227="","",SUMIFS(Начисления!$M$2:$M$1000,Начисления!$F$2:$F$1000,A227))</f>
        <v/>
      </c>
      <c r="N227" s="15">
        <f>IF(A227="","",SUM(K227:M227))</f>
        <v/>
      </c>
      <c r="O227" s="14" t="n"/>
      <c r="P227" s="15">
        <f>IF(A227="","",N227-O227)</f>
        <v/>
      </c>
      <c r="Q227" s="10" t="n"/>
      <c r="R227" s="10" t="n"/>
      <c r="S227" s="16">
        <f>IF(ISNUMBER(D227),D227+TIME(3,0,0),"")</f>
        <v/>
      </c>
      <c r="T227" s="10" t="n"/>
      <c r="U227" s="17">
        <f>IF(OR(B227="",COUNT(D227:E227)&lt;2,E227&lt;D227,F227="Отменена"),0,MAX(0,MIN(E227,Сводка!$B$4)-MAX(D227,Сводка!$B$2)))</f>
        <v/>
      </c>
    </row>
    <row r="228">
      <c r="A228" s="9" t="n"/>
      <c r="B228" s="10" t="n"/>
      <c r="C228" s="10" t="n"/>
      <c r="D228" s="11" t="n"/>
      <c r="E228" s="11" t="n"/>
      <c r="F228" s="10" t="n"/>
      <c r="G228" s="12">
        <f>IF(B228="","",IF(OR(COUNT(D228:E228)&lt;2,E228&lt;D228),"Проверьте даты",IF(OR(F228="Отменена",F228="Возвращена"),"",IF(SUMPRODUCT(($B$2:$B$500=B228)*($D$2:$D$500&lt;=E228)*($E$2:$E$500&gt;=D228)*($F$2:$F$500&lt;&gt;"Отменена")*($F$2:$F$500&lt;&gt;"Возвращена"))&gt;1,"Пересечение","ОК"))))</f>
        <v/>
      </c>
      <c r="H228" s="12">
        <f>IF(OR(B228="",D228=""),"",IF(AND(OR(F228="Выдана",F228="Возвращена"),SUMPRODUCT(($B$2:$B$500=B228)*($D$2:$D$500=D228)*(($F$2:$F$500="Выдана")+($F$2:$F$500="Возвращена")))&gt;1),"Дубль",""))</f>
        <v/>
      </c>
      <c r="I228" s="13">
        <f>IF(OR(B228="",COUNT(D228:E228)&lt;2,E228&lt;D228),"",IF(Настройки!$B$6=Настройки!$M$3,INT(E228)-INT(D228)+1,ROUNDUP(ROUND((E228-D228)*24,2)/24,0)))</f>
        <v/>
      </c>
      <c r="J228" s="14" t="n"/>
      <c r="K228" s="15">
        <f>IF(OR(I228="",J228=""),"",IF(F228="Отменена",0,ROUND(I228*J228,2)))</f>
        <v/>
      </c>
      <c r="L228" s="15">
        <f>IF(K228="","",ROUND(K228*Настройки!$B$5,2))</f>
        <v/>
      </c>
      <c r="M228" s="15">
        <f>IF(A228="","",SUMIFS(Начисления!$M$2:$M$1000,Начисления!$F$2:$F$1000,A228))</f>
        <v/>
      </c>
      <c r="N228" s="15">
        <f>IF(A228="","",SUM(K228:M228))</f>
        <v/>
      </c>
      <c r="O228" s="14" t="n"/>
      <c r="P228" s="15">
        <f>IF(A228="","",N228-O228)</f>
        <v/>
      </c>
      <c r="Q228" s="10" t="n"/>
      <c r="R228" s="10" t="n"/>
      <c r="S228" s="16">
        <f>IF(ISNUMBER(D228),D228+TIME(3,0,0),"")</f>
        <v/>
      </c>
      <c r="T228" s="10" t="n"/>
      <c r="U228" s="17">
        <f>IF(OR(B228="",COUNT(D228:E228)&lt;2,E228&lt;D228,F228="Отменена"),0,MAX(0,MIN(E228,Сводка!$B$4)-MAX(D228,Сводка!$B$2)))</f>
        <v/>
      </c>
    </row>
    <row r="229">
      <c r="A229" s="9" t="n"/>
      <c r="B229" s="10" t="n"/>
      <c r="C229" s="10" t="n"/>
      <c r="D229" s="11" t="n"/>
      <c r="E229" s="11" t="n"/>
      <c r="F229" s="10" t="n"/>
      <c r="G229" s="12">
        <f>IF(B229="","",IF(OR(COUNT(D229:E229)&lt;2,E229&lt;D229),"Проверьте даты",IF(OR(F229="Отменена",F229="Возвращена"),"",IF(SUMPRODUCT(($B$2:$B$500=B229)*($D$2:$D$500&lt;=E229)*($E$2:$E$500&gt;=D229)*($F$2:$F$500&lt;&gt;"Отменена")*($F$2:$F$500&lt;&gt;"Возвращена"))&gt;1,"Пересечение","ОК"))))</f>
        <v/>
      </c>
      <c r="H229" s="12">
        <f>IF(OR(B229="",D229=""),"",IF(AND(OR(F229="Выдана",F229="Возвращена"),SUMPRODUCT(($B$2:$B$500=B229)*($D$2:$D$500=D229)*(($F$2:$F$500="Выдана")+($F$2:$F$500="Возвращена")))&gt;1),"Дубль",""))</f>
        <v/>
      </c>
      <c r="I229" s="13">
        <f>IF(OR(B229="",COUNT(D229:E229)&lt;2,E229&lt;D229),"",IF(Настройки!$B$6=Настройки!$M$3,INT(E229)-INT(D229)+1,ROUNDUP(ROUND((E229-D229)*24,2)/24,0)))</f>
        <v/>
      </c>
      <c r="J229" s="14" t="n"/>
      <c r="K229" s="15">
        <f>IF(OR(I229="",J229=""),"",IF(F229="Отменена",0,ROUND(I229*J229,2)))</f>
        <v/>
      </c>
      <c r="L229" s="15">
        <f>IF(K229="","",ROUND(K229*Настройки!$B$5,2))</f>
        <v/>
      </c>
      <c r="M229" s="15">
        <f>IF(A229="","",SUMIFS(Начисления!$M$2:$M$1000,Начисления!$F$2:$F$1000,A229))</f>
        <v/>
      </c>
      <c r="N229" s="15">
        <f>IF(A229="","",SUM(K229:M229))</f>
        <v/>
      </c>
      <c r="O229" s="14" t="n"/>
      <c r="P229" s="15">
        <f>IF(A229="","",N229-O229)</f>
        <v/>
      </c>
      <c r="Q229" s="10" t="n"/>
      <c r="R229" s="10" t="n"/>
      <c r="S229" s="16">
        <f>IF(ISNUMBER(D229),D229+TIME(3,0,0),"")</f>
        <v/>
      </c>
      <c r="T229" s="10" t="n"/>
      <c r="U229" s="17">
        <f>IF(OR(B229="",COUNT(D229:E229)&lt;2,E229&lt;D229,F229="Отменена"),0,MAX(0,MIN(E229,Сводка!$B$4)-MAX(D229,Сводка!$B$2)))</f>
        <v/>
      </c>
    </row>
    <row r="230">
      <c r="A230" s="9" t="n"/>
      <c r="B230" s="10" t="n"/>
      <c r="C230" s="10" t="n"/>
      <c r="D230" s="11" t="n"/>
      <c r="E230" s="11" t="n"/>
      <c r="F230" s="10" t="n"/>
      <c r="G230" s="12">
        <f>IF(B230="","",IF(OR(COUNT(D230:E230)&lt;2,E230&lt;D230),"Проверьте даты",IF(OR(F230="Отменена",F230="Возвращена"),"",IF(SUMPRODUCT(($B$2:$B$500=B230)*($D$2:$D$500&lt;=E230)*($E$2:$E$500&gt;=D230)*($F$2:$F$500&lt;&gt;"Отменена")*($F$2:$F$500&lt;&gt;"Возвращена"))&gt;1,"Пересечение","ОК"))))</f>
        <v/>
      </c>
      <c r="H230" s="12">
        <f>IF(OR(B230="",D230=""),"",IF(AND(OR(F230="Выдана",F230="Возвращена"),SUMPRODUCT(($B$2:$B$500=B230)*($D$2:$D$500=D230)*(($F$2:$F$500="Выдана")+($F$2:$F$500="Возвращена")))&gt;1),"Дубль",""))</f>
        <v/>
      </c>
      <c r="I230" s="13">
        <f>IF(OR(B230="",COUNT(D230:E230)&lt;2,E230&lt;D230),"",IF(Настройки!$B$6=Настройки!$M$3,INT(E230)-INT(D230)+1,ROUNDUP(ROUND((E230-D230)*24,2)/24,0)))</f>
        <v/>
      </c>
      <c r="J230" s="14" t="n"/>
      <c r="K230" s="15">
        <f>IF(OR(I230="",J230=""),"",IF(F230="Отменена",0,ROUND(I230*J230,2)))</f>
        <v/>
      </c>
      <c r="L230" s="15">
        <f>IF(K230="","",ROUND(K230*Настройки!$B$5,2))</f>
        <v/>
      </c>
      <c r="M230" s="15">
        <f>IF(A230="","",SUMIFS(Начисления!$M$2:$M$1000,Начисления!$F$2:$F$1000,A230))</f>
        <v/>
      </c>
      <c r="N230" s="15">
        <f>IF(A230="","",SUM(K230:M230))</f>
        <v/>
      </c>
      <c r="O230" s="14" t="n"/>
      <c r="P230" s="15">
        <f>IF(A230="","",N230-O230)</f>
        <v/>
      </c>
      <c r="Q230" s="10" t="n"/>
      <c r="R230" s="10" t="n"/>
      <c r="S230" s="16">
        <f>IF(ISNUMBER(D230),D230+TIME(3,0,0),"")</f>
        <v/>
      </c>
      <c r="T230" s="10" t="n"/>
      <c r="U230" s="17">
        <f>IF(OR(B230="",COUNT(D230:E230)&lt;2,E230&lt;D230,F230="Отменена"),0,MAX(0,MIN(E230,Сводка!$B$4)-MAX(D230,Сводка!$B$2)))</f>
        <v/>
      </c>
    </row>
    <row r="231">
      <c r="A231" s="9" t="n"/>
      <c r="B231" s="10" t="n"/>
      <c r="C231" s="10" t="n"/>
      <c r="D231" s="11" t="n"/>
      <c r="E231" s="11" t="n"/>
      <c r="F231" s="10" t="n"/>
      <c r="G231" s="12">
        <f>IF(B231="","",IF(OR(COUNT(D231:E231)&lt;2,E231&lt;D231),"Проверьте даты",IF(OR(F231="Отменена",F231="Возвращена"),"",IF(SUMPRODUCT(($B$2:$B$500=B231)*($D$2:$D$500&lt;=E231)*($E$2:$E$500&gt;=D231)*($F$2:$F$500&lt;&gt;"Отменена")*($F$2:$F$500&lt;&gt;"Возвращена"))&gt;1,"Пересечение","ОК"))))</f>
        <v/>
      </c>
      <c r="H231" s="12">
        <f>IF(OR(B231="",D231=""),"",IF(AND(OR(F231="Выдана",F231="Возвращена"),SUMPRODUCT(($B$2:$B$500=B231)*($D$2:$D$500=D231)*(($F$2:$F$500="Выдана")+($F$2:$F$500="Возвращена")))&gt;1),"Дубль",""))</f>
        <v/>
      </c>
      <c r="I231" s="13">
        <f>IF(OR(B231="",COUNT(D231:E231)&lt;2,E231&lt;D231),"",IF(Настройки!$B$6=Настройки!$M$3,INT(E231)-INT(D231)+1,ROUNDUP(ROUND((E231-D231)*24,2)/24,0)))</f>
        <v/>
      </c>
      <c r="J231" s="14" t="n"/>
      <c r="K231" s="15">
        <f>IF(OR(I231="",J231=""),"",IF(F231="Отменена",0,ROUND(I231*J231,2)))</f>
        <v/>
      </c>
      <c r="L231" s="15">
        <f>IF(K231="","",ROUND(K231*Настройки!$B$5,2))</f>
        <v/>
      </c>
      <c r="M231" s="15">
        <f>IF(A231="","",SUMIFS(Начисления!$M$2:$M$1000,Начисления!$F$2:$F$1000,A231))</f>
        <v/>
      </c>
      <c r="N231" s="15">
        <f>IF(A231="","",SUM(K231:M231))</f>
        <v/>
      </c>
      <c r="O231" s="14" t="n"/>
      <c r="P231" s="15">
        <f>IF(A231="","",N231-O231)</f>
        <v/>
      </c>
      <c r="Q231" s="10" t="n"/>
      <c r="R231" s="10" t="n"/>
      <c r="S231" s="16">
        <f>IF(ISNUMBER(D231),D231+TIME(3,0,0),"")</f>
        <v/>
      </c>
      <c r="T231" s="10" t="n"/>
      <c r="U231" s="17">
        <f>IF(OR(B231="",COUNT(D231:E231)&lt;2,E231&lt;D231,F231="Отменена"),0,MAX(0,MIN(E231,Сводка!$B$4)-MAX(D231,Сводка!$B$2)))</f>
        <v/>
      </c>
    </row>
    <row r="232">
      <c r="A232" s="9" t="n"/>
      <c r="B232" s="10" t="n"/>
      <c r="C232" s="10" t="n"/>
      <c r="D232" s="11" t="n"/>
      <c r="E232" s="11" t="n"/>
      <c r="F232" s="10" t="n"/>
      <c r="G232" s="12">
        <f>IF(B232="","",IF(OR(COUNT(D232:E232)&lt;2,E232&lt;D232),"Проверьте даты",IF(OR(F232="Отменена",F232="Возвращена"),"",IF(SUMPRODUCT(($B$2:$B$500=B232)*($D$2:$D$500&lt;=E232)*($E$2:$E$500&gt;=D232)*($F$2:$F$500&lt;&gt;"Отменена")*($F$2:$F$500&lt;&gt;"Возвращена"))&gt;1,"Пересечение","ОК"))))</f>
        <v/>
      </c>
      <c r="H232" s="12">
        <f>IF(OR(B232="",D232=""),"",IF(AND(OR(F232="Выдана",F232="Возвращена"),SUMPRODUCT(($B$2:$B$500=B232)*($D$2:$D$500=D232)*(($F$2:$F$500="Выдана")+($F$2:$F$500="Возвращена")))&gt;1),"Дубль",""))</f>
        <v/>
      </c>
      <c r="I232" s="13">
        <f>IF(OR(B232="",COUNT(D232:E232)&lt;2,E232&lt;D232),"",IF(Настройки!$B$6=Настройки!$M$3,INT(E232)-INT(D232)+1,ROUNDUP(ROUND((E232-D232)*24,2)/24,0)))</f>
        <v/>
      </c>
      <c r="J232" s="14" t="n"/>
      <c r="K232" s="15">
        <f>IF(OR(I232="",J232=""),"",IF(F232="Отменена",0,ROUND(I232*J232,2)))</f>
        <v/>
      </c>
      <c r="L232" s="15">
        <f>IF(K232="","",ROUND(K232*Настройки!$B$5,2))</f>
        <v/>
      </c>
      <c r="M232" s="15">
        <f>IF(A232="","",SUMIFS(Начисления!$M$2:$M$1000,Начисления!$F$2:$F$1000,A232))</f>
        <v/>
      </c>
      <c r="N232" s="15">
        <f>IF(A232="","",SUM(K232:M232))</f>
        <v/>
      </c>
      <c r="O232" s="14" t="n"/>
      <c r="P232" s="15">
        <f>IF(A232="","",N232-O232)</f>
        <v/>
      </c>
      <c r="Q232" s="10" t="n"/>
      <c r="R232" s="10" t="n"/>
      <c r="S232" s="16">
        <f>IF(ISNUMBER(D232),D232+TIME(3,0,0),"")</f>
        <v/>
      </c>
      <c r="T232" s="10" t="n"/>
      <c r="U232" s="17">
        <f>IF(OR(B232="",COUNT(D232:E232)&lt;2,E232&lt;D232,F232="Отменена"),0,MAX(0,MIN(E232,Сводка!$B$4)-MAX(D232,Сводка!$B$2)))</f>
        <v/>
      </c>
    </row>
    <row r="233">
      <c r="A233" s="9" t="n"/>
      <c r="B233" s="10" t="n"/>
      <c r="C233" s="10" t="n"/>
      <c r="D233" s="11" t="n"/>
      <c r="E233" s="11" t="n"/>
      <c r="F233" s="10" t="n"/>
      <c r="G233" s="12">
        <f>IF(B233="","",IF(OR(COUNT(D233:E233)&lt;2,E233&lt;D233),"Проверьте даты",IF(OR(F233="Отменена",F233="Возвращена"),"",IF(SUMPRODUCT(($B$2:$B$500=B233)*($D$2:$D$500&lt;=E233)*($E$2:$E$500&gt;=D233)*($F$2:$F$500&lt;&gt;"Отменена")*($F$2:$F$500&lt;&gt;"Возвращена"))&gt;1,"Пересечение","ОК"))))</f>
        <v/>
      </c>
      <c r="H233" s="12">
        <f>IF(OR(B233="",D233=""),"",IF(AND(OR(F233="Выдана",F233="Возвращена"),SUMPRODUCT(($B$2:$B$500=B233)*($D$2:$D$500=D233)*(($F$2:$F$500="Выдана")+($F$2:$F$500="Возвращена")))&gt;1),"Дубль",""))</f>
        <v/>
      </c>
      <c r="I233" s="13">
        <f>IF(OR(B233="",COUNT(D233:E233)&lt;2,E233&lt;D233),"",IF(Настройки!$B$6=Настройки!$M$3,INT(E233)-INT(D233)+1,ROUNDUP(ROUND((E233-D233)*24,2)/24,0)))</f>
        <v/>
      </c>
      <c r="J233" s="14" t="n"/>
      <c r="K233" s="15">
        <f>IF(OR(I233="",J233=""),"",IF(F233="Отменена",0,ROUND(I233*J233,2)))</f>
        <v/>
      </c>
      <c r="L233" s="15">
        <f>IF(K233="","",ROUND(K233*Настройки!$B$5,2))</f>
        <v/>
      </c>
      <c r="M233" s="15">
        <f>IF(A233="","",SUMIFS(Начисления!$M$2:$M$1000,Начисления!$F$2:$F$1000,A233))</f>
        <v/>
      </c>
      <c r="N233" s="15">
        <f>IF(A233="","",SUM(K233:M233))</f>
        <v/>
      </c>
      <c r="O233" s="14" t="n"/>
      <c r="P233" s="15">
        <f>IF(A233="","",N233-O233)</f>
        <v/>
      </c>
      <c r="Q233" s="10" t="n"/>
      <c r="R233" s="10" t="n"/>
      <c r="S233" s="16">
        <f>IF(ISNUMBER(D233),D233+TIME(3,0,0),"")</f>
        <v/>
      </c>
      <c r="T233" s="10" t="n"/>
      <c r="U233" s="17">
        <f>IF(OR(B233="",COUNT(D233:E233)&lt;2,E233&lt;D233,F233="Отменена"),0,MAX(0,MIN(E233,Сводка!$B$4)-MAX(D233,Сводка!$B$2)))</f>
        <v/>
      </c>
    </row>
    <row r="234">
      <c r="A234" s="9" t="n"/>
      <c r="B234" s="10" t="n"/>
      <c r="C234" s="10" t="n"/>
      <c r="D234" s="11" t="n"/>
      <c r="E234" s="11" t="n"/>
      <c r="F234" s="10" t="n"/>
      <c r="G234" s="12">
        <f>IF(B234="","",IF(OR(COUNT(D234:E234)&lt;2,E234&lt;D234),"Проверьте даты",IF(OR(F234="Отменена",F234="Возвращена"),"",IF(SUMPRODUCT(($B$2:$B$500=B234)*($D$2:$D$500&lt;=E234)*($E$2:$E$500&gt;=D234)*($F$2:$F$500&lt;&gt;"Отменена")*($F$2:$F$500&lt;&gt;"Возвращена"))&gt;1,"Пересечение","ОК"))))</f>
        <v/>
      </c>
      <c r="H234" s="12">
        <f>IF(OR(B234="",D234=""),"",IF(AND(OR(F234="Выдана",F234="Возвращена"),SUMPRODUCT(($B$2:$B$500=B234)*($D$2:$D$500=D234)*(($F$2:$F$500="Выдана")+($F$2:$F$500="Возвращена")))&gt;1),"Дубль",""))</f>
        <v/>
      </c>
      <c r="I234" s="13">
        <f>IF(OR(B234="",COUNT(D234:E234)&lt;2,E234&lt;D234),"",IF(Настройки!$B$6=Настройки!$M$3,INT(E234)-INT(D234)+1,ROUNDUP(ROUND((E234-D234)*24,2)/24,0)))</f>
        <v/>
      </c>
      <c r="J234" s="14" t="n"/>
      <c r="K234" s="15">
        <f>IF(OR(I234="",J234=""),"",IF(F234="Отменена",0,ROUND(I234*J234,2)))</f>
        <v/>
      </c>
      <c r="L234" s="15">
        <f>IF(K234="","",ROUND(K234*Настройки!$B$5,2))</f>
        <v/>
      </c>
      <c r="M234" s="15">
        <f>IF(A234="","",SUMIFS(Начисления!$M$2:$M$1000,Начисления!$F$2:$F$1000,A234))</f>
        <v/>
      </c>
      <c r="N234" s="15">
        <f>IF(A234="","",SUM(K234:M234))</f>
        <v/>
      </c>
      <c r="O234" s="14" t="n"/>
      <c r="P234" s="15">
        <f>IF(A234="","",N234-O234)</f>
        <v/>
      </c>
      <c r="Q234" s="10" t="n"/>
      <c r="R234" s="10" t="n"/>
      <c r="S234" s="16">
        <f>IF(ISNUMBER(D234),D234+TIME(3,0,0),"")</f>
        <v/>
      </c>
      <c r="T234" s="10" t="n"/>
      <c r="U234" s="17">
        <f>IF(OR(B234="",COUNT(D234:E234)&lt;2,E234&lt;D234,F234="Отменена"),0,MAX(0,MIN(E234,Сводка!$B$4)-MAX(D234,Сводка!$B$2)))</f>
        <v/>
      </c>
    </row>
    <row r="235">
      <c r="A235" s="9" t="n"/>
      <c r="B235" s="10" t="n"/>
      <c r="C235" s="10" t="n"/>
      <c r="D235" s="11" t="n"/>
      <c r="E235" s="11" t="n"/>
      <c r="F235" s="10" t="n"/>
      <c r="G235" s="12">
        <f>IF(B235="","",IF(OR(COUNT(D235:E235)&lt;2,E235&lt;D235),"Проверьте даты",IF(OR(F235="Отменена",F235="Возвращена"),"",IF(SUMPRODUCT(($B$2:$B$500=B235)*($D$2:$D$500&lt;=E235)*($E$2:$E$500&gt;=D235)*($F$2:$F$500&lt;&gt;"Отменена")*($F$2:$F$500&lt;&gt;"Возвращена"))&gt;1,"Пересечение","ОК"))))</f>
        <v/>
      </c>
      <c r="H235" s="12">
        <f>IF(OR(B235="",D235=""),"",IF(AND(OR(F235="Выдана",F235="Возвращена"),SUMPRODUCT(($B$2:$B$500=B235)*($D$2:$D$500=D235)*(($F$2:$F$500="Выдана")+($F$2:$F$500="Возвращена")))&gt;1),"Дубль",""))</f>
        <v/>
      </c>
      <c r="I235" s="13">
        <f>IF(OR(B235="",COUNT(D235:E235)&lt;2,E235&lt;D235),"",IF(Настройки!$B$6=Настройки!$M$3,INT(E235)-INT(D235)+1,ROUNDUP(ROUND((E235-D235)*24,2)/24,0)))</f>
        <v/>
      </c>
      <c r="J235" s="14" t="n"/>
      <c r="K235" s="15">
        <f>IF(OR(I235="",J235=""),"",IF(F235="Отменена",0,ROUND(I235*J235,2)))</f>
        <v/>
      </c>
      <c r="L235" s="15">
        <f>IF(K235="","",ROUND(K235*Настройки!$B$5,2))</f>
        <v/>
      </c>
      <c r="M235" s="15">
        <f>IF(A235="","",SUMIFS(Начисления!$M$2:$M$1000,Начисления!$F$2:$F$1000,A235))</f>
        <v/>
      </c>
      <c r="N235" s="15">
        <f>IF(A235="","",SUM(K235:M235))</f>
        <v/>
      </c>
      <c r="O235" s="14" t="n"/>
      <c r="P235" s="15">
        <f>IF(A235="","",N235-O235)</f>
        <v/>
      </c>
      <c r="Q235" s="10" t="n"/>
      <c r="R235" s="10" t="n"/>
      <c r="S235" s="16">
        <f>IF(ISNUMBER(D235),D235+TIME(3,0,0),"")</f>
        <v/>
      </c>
      <c r="T235" s="10" t="n"/>
      <c r="U235" s="17">
        <f>IF(OR(B235="",COUNT(D235:E235)&lt;2,E235&lt;D235,F235="Отменена"),0,MAX(0,MIN(E235,Сводка!$B$4)-MAX(D235,Сводка!$B$2)))</f>
        <v/>
      </c>
    </row>
    <row r="236">
      <c r="A236" s="9" t="n"/>
      <c r="B236" s="10" t="n"/>
      <c r="C236" s="10" t="n"/>
      <c r="D236" s="11" t="n"/>
      <c r="E236" s="11" t="n"/>
      <c r="F236" s="10" t="n"/>
      <c r="G236" s="12">
        <f>IF(B236="","",IF(OR(COUNT(D236:E236)&lt;2,E236&lt;D236),"Проверьте даты",IF(OR(F236="Отменена",F236="Возвращена"),"",IF(SUMPRODUCT(($B$2:$B$500=B236)*($D$2:$D$500&lt;=E236)*($E$2:$E$500&gt;=D236)*($F$2:$F$500&lt;&gt;"Отменена")*($F$2:$F$500&lt;&gt;"Возвращена"))&gt;1,"Пересечение","ОК"))))</f>
        <v/>
      </c>
      <c r="H236" s="12">
        <f>IF(OR(B236="",D236=""),"",IF(AND(OR(F236="Выдана",F236="Возвращена"),SUMPRODUCT(($B$2:$B$500=B236)*($D$2:$D$500=D236)*(($F$2:$F$500="Выдана")+($F$2:$F$500="Возвращена")))&gt;1),"Дубль",""))</f>
        <v/>
      </c>
      <c r="I236" s="13">
        <f>IF(OR(B236="",COUNT(D236:E236)&lt;2,E236&lt;D236),"",IF(Настройки!$B$6=Настройки!$M$3,INT(E236)-INT(D236)+1,ROUNDUP(ROUND((E236-D236)*24,2)/24,0)))</f>
        <v/>
      </c>
      <c r="J236" s="14" t="n"/>
      <c r="K236" s="15">
        <f>IF(OR(I236="",J236=""),"",IF(F236="Отменена",0,ROUND(I236*J236,2)))</f>
        <v/>
      </c>
      <c r="L236" s="15">
        <f>IF(K236="","",ROUND(K236*Настройки!$B$5,2))</f>
        <v/>
      </c>
      <c r="M236" s="15">
        <f>IF(A236="","",SUMIFS(Начисления!$M$2:$M$1000,Начисления!$F$2:$F$1000,A236))</f>
        <v/>
      </c>
      <c r="N236" s="15">
        <f>IF(A236="","",SUM(K236:M236))</f>
        <v/>
      </c>
      <c r="O236" s="14" t="n"/>
      <c r="P236" s="15">
        <f>IF(A236="","",N236-O236)</f>
        <v/>
      </c>
      <c r="Q236" s="10" t="n"/>
      <c r="R236" s="10" t="n"/>
      <c r="S236" s="16">
        <f>IF(ISNUMBER(D236),D236+TIME(3,0,0),"")</f>
        <v/>
      </c>
      <c r="T236" s="10" t="n"/>
      <c r="U236" s="17">
        <f>IF(OR(B236="",COUNT(D236:E236)&lt;2,E236&lt;D236,F236="Отменена"),0,MAX(0,MIN(E236,Сводка!$B$4)-MAX(D236,Сводка!$B$2)))</f>
        <v/>
      </c>
    </row>
    <row r="237">
      <c r="A237" s="9" t="n"/>
      <c r="B237" s="10" t="n"/>
      <c r="C237" s="10" t="n"/>
      <c r="D237" s="11" t="n"/>
      <c r="E237" s="11" t="n"/>
      <c r="F237" s="10" t="n"/>
      <c r="G237" s="12">
        <f>IF(B237="","",IF(OR(COUNT(D237:E237)&lt;2,E237&lt;D237),"Проверьте даты",IF(OR(F237="Отменена",F237="Возвращена"),"",IF(SUMPRODUCT(($B$2:$B$500=B237)*($D$2:$D$500&lt;=E237)*($E$2:$E$500&gt;=D237)*($F$2:$F$500&lt;&gt;"Отменена")*($F$2:$F$500&lt;&gt;"Возвращена"))&gt;1,"Пересечение","ОК"))))</f>
        <v/>
      </c>
      <c r="H237" s="12">
        <f>IF(OR(B237="",D237=""),"",IF(AND(OR(F237="Выдана",F237="Возвращена"),SUMPRODUCT(($B$2:$B$500=B237)*($D$2:$D$500=D237)*(($F$2:$F$500="Выдана")+($F$2:$F$500="Возвращена")))&gt;1),"Дубль",""))</f>
        <v/>
      </c>
      <c r="I237" s="13">
        <f>IF(OR(B237="",COUNT(D237:E237)&lt;2,E237&lt;D237),"",IF(Настройки!$B$6=Настройки!$M$3,INT(E237)-INT(D237)+1,ROUNDUP(ROUND((E237-D237)*24,2)/24,0)))</f>
        <v/>
      </c>
      <c r="J237" s="14" t="n"/>
      <c r="K237" s="15">
        <f>IF(OR(I237="",J237=""),"",IF(F237="Отменена",0,ROUND(I237*J237,2)))</f>
        <v/>
      </c>
      <c r="L237" s="15">
        <f>IF(K237="","",ROUND(K237*Настройки!$B$5,2))</f>
        <v/>
      </c>
      <c r="M237" s="15">
        <f>IF(A237="","",SUMIFS(Начисления!$M$2:$M$1000,Начисления!$F$2:$F$1000,A237))</f>
        <v/>
      </c>
      <c r="N237" s="15">
        <f>IF(A237="","",SUM(K237:M237))</f>
        <v/>
      </c>
      <c r="O237" s="14" t="n"/>
      <c r="P237" s="15">
        <f>IF(A237="","",N237-O237)</f>
        <v/>
      </c>
      <c r="Q237" s="10" t="n"/>
      <c r="R237" s="10" t="n"/>
      <c r="S237" s="16">
        <f>IF(ISNUMBER(D237),D237+TIME(3,0,0),"")</f>
        <v/>
      </c>
      <c r="T237" s="10" t="n"/>
      <c r="U237" s="17">
        <f>IF(OR(B237="",COUNT(D237:E237)&lt;2,E237&lt;D237,F237="Отменена"),0,MAX(0,MIN(E237,Сводка!$B$4)-MAX(D237,Сводка!$B$2)))</f>
        <v/>
      </c>
    </row>
    <row r="238">
      <c r="A238" s="9" t="n"/>
      <c r="B238" s="10" t="n"/>
      <c r="C238" s="10" t="n"/>
      <c r="D238" s="11" t="n"/>
      <c r="E238" s="11" t="n"/>
      <c r="F238" s="10" t="n"/>
      <c r="G238" s="12">
        <f>IF(B238="","",IF(OR(COUNT(D238:E238)&lt;2,E238&lt;D238),"Проверьте даты",IF(OR(F238="Отменена",F238="Возвращена"),"",IF(SUMPRODUCT(($B$2:$B$500=B238)*($D$2:$D$500&lt;=E238)*($E$2:$E$500&gt;=D238)*($F$2:$F$500&lt;&gt;"Отменена")*($F$2:$F$500&lt;&gt;"Возвращена"))&gt;1,"Пересечение","ОК"))))</f>
        <v/>
      </c>
      <c r="H238" s="12">
        <f>IF(OR(B238="",D238=""),"",IF(AND(OR(F238="Выдана",F238="Возвращена"),SUMPRODUCT(($B$2:$B$500=B238)*($D$2:$D$500=D238)*(($F$2:$F$500="Выдана")+($F$2:$F$500="Возвращена")))&gt;1),"Дубль",""))</f>
        <v/>
      </c>
      <c r="I238" s="13">
        <f>IF(OR(B238="",COUNT(D238:E238)&lt;2,E238&lt;D238),"",IF(Настройки!$B$6=Настройки!$M$3,INT(E238)-INT(D238)+1,ROUNDUP(ROUND((E238-D238)*24,2)/24,0)))</f>
        <v/>
      </c>
      <c r="J238" s="14" t="n"/>
      <c r="K238" s="15">
        <f>IF(OR(I238="",J238=""),"",IF(F238="Отменена",0,ROUND(I238*J238,2)))</f>
        <v/>
      </c>
      <c r="L238" s="15">
        <f>IF(K238="","",ROUND(K238*Настройки!$B$5,2))</f>
        <v/>
      </c>
      <c r="M238" s="15">
        <f>IF(A238="","",SUMIFS(Начисления!$M$2:$M$1000,Начисления!$F$2:$F$1000,A238))</f>
        <v/>
      </c>
      <c r="N238" s="15">
        <f>IF(A238="","",SUM(K238:M238))</f>
        <v/>
      </c>
      <c r="O238" s="14" t="n"/>
      <c r="P238" s="15">
        <f>IF(A238="","",N238-O238)</f>
        <v/>
      </c>
      <c r="Q238" s="10" t="n"/>
      <c r="R238" s="10" t="n"/>
      <c r="S238" s="16">
        <f>IF(ISNUMBER(D238),D238+TIME(3,0,0),"")</f>
        <v/>
      </c>
      <c r="T238" s="10" t="n"/>
      <c r="U238" s="17">
        <f>IF(OR(B238="",COUNT(D238:E238)&lt;2,E238&lt;D238,F238="Отменена"),0,MAX(0,MIN(E238,Сводка!$B$4)-MAX(D238,Сводка!$B$2)))</f>
        <v/>
      </c>
    </row>
    <row r="239">
      <c r="A239" s="9" t="n"/>
      <c r="B239" s="10" t="n"/>
      <c r="C239" s="10" t="n"/>
      <c r="D239" s="11" t="n"/>
      <c r="E239" s="11" t="n"/>
      <c r="F239" s="10" t="n"/>
      <c r="G239" s="12">
        <f>IF(B239="","",IF(OR(COUNT(D239:E239)&lt;2,E239&lt;D239),"Проверьте даты",IF(OR(F239="Отменена",F239="Возвращена"),"",IF(SUMPRODUCT(($B$2:$B$500=B239)*($D$2:$D$500&lt;=E239)*($E$2:$E$500&gt;=D239)*($F$2:$F$500&lt;&gt;"Отменена")*($F$2:$F$500&lt;&gt;"Возвращена"))&gt;1,"Пересечение","ОК"))))</f>
        <v/>
      </c>
      <c r="H239" s="12">
        <f>IF(OR(B239="",D239=""),"",IF(AND(OR(F239="Выдана",F239="Возвращена"),SUMPRODUCT(($B$2:$B$500=B239)*($D$2:$D$500=D239)*(($F$2:$F$500="Выдана")+($F$2:$F$500="Возвращена")))&gt;1),"Дубль",""))</f>
        <v/>
      </c>
      <c r="I239" s="13">
        <f>IF(OR(B239="",COUNT(D239:E239)&lt;2,E239&lt;D239),"",IF(Настройки!$B$6=Настройки!$M$3,INT(E239)-INT(D239)+1,ROUNDUP(ROUND((E239-D239)*24,2)/24,0)))</f>
        <v/>
      </c>
      <c r="J239" s="14" t="n"/>
      <c r="K239" s="15">
        <f>IF(OR(I239="",J239=""),"",IF(F239="Отменена",0,ROUND(I239*J239,2)))</f>
        <v/>
      </c>
      <c r="L239" s="15">
        <f>IF(K239="","",ROUND(K239*Настройки!$B$5,2))</f>
        <v/>
      </c>
      <c r="M239" s="15">
        <f>IF(A239="","",SUMIFS(Начисления!$M$2:$M$1000,Начисления!$F$2:$F$1000,A239))</f>
        <v/>
      </c>
      <c r="N239" s="15">
        <f>IF(A239="","",SUM(K239:M239))</f>
        <v/>
      </c>
      <c r="O239" s="14" t="n"/>
      <c r="P239" s="15">
        <f>IF(A239="","",N239-O239)</f>
        <v/>
      </c>
      <c r="Q239" s="10" t="n"/>
      <c r="R239" s="10" t="n"/>
      <c r="S239" s="16">
        <f>IF(ISNUMBER(D239),D239+TIME(3,0,0),"")</f>
        <v/>
      </c>
      <c r="T239" s="10" t="n"/>
      <c r="U239" s="17">
        <f>IF(OR(B239="",COUNT(D239:E239)&lt;2,E239&lt;D239,F239="Отменена"),0,MAX(0,MIN(E239,Сводка!$B$4)-MAX(D239,Сводка!$B$2)))</f>
        <v/>
      </c>
    </row>
    <row r="240">
      <c r="A240" s="9" t="n"/>
      <c r="B240" s="10" t="n"/>
      <c r="C240" s="10" t="n"/>
      <c r="D240" s="11" t="n"/>
      <c r="E240" s="11" t="n"/>
      <c r="F240" s="10" t="n"/>
      <c r="G240" s="12">
        <f>IF(B240="","",IF(OR(COUNT(D240:E240)&lt;2,E240&lt;D240),"Проверьте даты",IF(OR(F240="Отменена",F240="Возвращена"),"",IF(SUMPRODUCT(($B$2:$B$500=B240)*($D$2:$D$500&lt;=E240)*($E$2:$E$500&gt;=D240)*($F$2:$F$500&lt;&gt;"Отменена")*($F$2:$F$500&lt;&gt;"Возвращена"))&gt;1,"Пересечение","ОК"))))</f>
        <v/>
      </c>
      <c r="H240" s="12">
        <f>IF(OR(B240="",D240=""),"",IF(AND(OR(F240="Выдана",F240="Возвращена"),SUMPRODUCT(($B$2:$B$500=B240)*($D$2:$D$500=D240)*(($F$2:$F$500="Выдана")+($F$2:$F$500="Возвращена")))&gt;1),"Дубль",""))</f>
        <v/>
      </c>
      <c r="I240" s="13">
        <f>IF(OR(B240="",COUNT(D240:E240)&lt;2,E240&lt;D240),"",IF(Настройки!$B$6=Настройки!$M$3,INT(E240)-INT(D240)+1,ROUNDUP(ROUND((E240-D240)*24,2)/24,0)))</f>
        <v/>
      </c>
      <c r="J240" s="14" t="n"/>
      <c r="K240" s="15">
        <f>IF(OR(I240="",J240=""),"",IF(F240="Отменена",0,ROUND(I240*J240,2)))</f>
        <v/>
      </c>
      <c r="L240" s="15">
        <f>IF(K240="","",ROUND(K240*Настройки!$B$5,2))</f>
        <v/>
      </c>
      <c r="M240" s="15">
        <f>IF(A240="","",SUMIFS(Начисления!$M$2:$M$1000,Начисления!$F$2:$F$1000,A240))</f>
        <v/>
      </c>
      <c r="N240" s="15">
        <f>IF(A240="","",SUM(K240:M240))</f>
        <v/>
      </c>
      <c r="O240" s="14" t="n"/>
      <c r="P240" s="15">
        <f>IF(A240="","",N240-O240)</f>
        <v/>
      </c>
      <c r="Q240" s="10" t="n"/>
      <c r="R240" s="10" t="n"/>
      <c r="S240" s="16">
        <f>IF(ISNUMBER(D240),D240+TIME(3,0,0),"")</f>
        <v/>
      </c>
      <c r="T240" s="10" t="n"/>
      <c r="U240" s="17">
        <f>IF(OR(B240="",COUNT(D240:E240)&lt;2,E240&lt;D240,F240="Отменена"),0,MAX(0,MIN(E240,Сводка!$B$4)-MAX(D240,Сводка!$B$2)))</f>
        <v/>
      </c>
    </row>
    <row r="241">
      <c r="A241" s="9" t="n"/>
      <c r="B241" s="10" t="n"/>
      <c r="C241" s="10" t="n"/>
      <c r="D241" s="11" t="n"/>
      <c r="E241" s="11" t="n"/>
      <c r="F241" s="10" t="n"/>
      <c r="G241" s="12">
        <f>IF(B241="","",IF(OR(COUNT(D241:E241)&lt;2,E241&lt;D241),"Проверьте даты",IF(OR(F241="Отменена",F241="Возвращена"),"",IF(SUMPRODUCT(($B$2:$B$500=B241)*($D$2:$D$500&lt;=E241)*($E$2:$E$500&gt;=D241)*($F$2:$F$500&lt;&gt;"Отменена")*($F$2:$F$500&lt;&gt;"Возвращена"))&gt;1,"Пересечение","ОК"))))</f>
        <v/>
      </c>
      <c r="H241" s="12">
        <f>IF(OR(B241="",D241=""),"",IF(AND(OR(F241="Выдана",F241="Возвращена"),SUMPRODUCT(($B$2:$B$500=B241)*($D$2:$D$500=D241)*(($F$2:$F$500="Выдана")+($F$2:$F$500="Возвращена")))&gt;1),"Дубль",""))</f>
        <v/>
      </c>
      <c r="I241" s="13">
        <f>IF(OR(B241="",COUNT(D241:E241)&lt;2,E241&lt;D241),"",IF(Настройки!$B$6=Настройки!$M$3,INT(E241)-INT(D241)+1,ROUNDUP(ROUND((E241-D241)*24,2)/24,0)))</f>
        <v/>
      </c>
      <c r="J241" s="14" t="n"/>
      <c r="K241" s="15">
        <f>IF(OR(I241="",J241=""),"",IF(F241="Отменена",0,ROUND(I241*J241,2)))</f>
        <v/>
      </c>
      <c r="L241" s="15">
        <f>IF(K241="","",ROUND(K241*Настройки!$B$5,2))</f>
        <v/>
      </c>
      <c r="M241" s="15">
        <f>IF(A241="","",SUMIFS(Начисления!$M$2:$M$1000,Начисления!$F$2:$F$1000,A241))</f>
        <v/>
      </c>
      <c r="N241" s="15">
        <f>IF(A241="","",SUM(K241:M241))</f>
        <v/>
      </c>
      <c r="O241" s="14" t="n"/>
      <c r="P241" s="15">
        <f>IF(A241="","",N241-O241)</f>
        <v/>
      </c>
      <c r="Q241" s="10" t="n"/>
      <c r="R241" s="10" t="n"/>
      <c r="S241" s="16">
        <f>IF(ISNUMBER(D241),D241+TIME(3,0,0),"")</f>
        <v/>
      </c>
      <c r="T241" s="10" t="n"/>
      <c r="U241" s="17">
        <f>IF(OR(B241="",COUNT(D241:E241)&lt;2,E241&lt;D241,F241="Отменена"),0,MAX(0,MIN(E241,Сводка!$B$4)-MAX(D241,Сводка!$B$2)))</f>
        <v/>
      </c>
    </row>
    <row r="242">
      <c r="A242" s="9" t="n"/>
      <c r="B242" s="10" t="n"/>
      <c r="C242" s="10" t="n"/>
      <c r="D242" s="11" t="n"/>
      <c r="E242" s="11" t="n"/>
      <c r="F242" s="10" t="n"/>
      <c r="G242" s="12">
        <f>IF(B242="","",IF(OR(COUNT(D242:E242)&lt;2,E242&lt;D242),"Проверьте даты",IF(OR(F242="Отменена",F242="Возвращена"),"",IF(SUMPRODUCT(($B$2:$B$500=B242)*($D$2:$D$500&lt;=E242)*($E$2:$E$500&gt;=D242)*($F$2:$F$500&lt;&gt;"Отменена")*($F$2:$F$500&lt;&gt;"Возвращена"))&gt;1,"Пересечение","ОК"))))</f>
        <v/>
      </c>
      <c r="H242" s="12">
        <f>IF(OR(B242="",D242=""),"",IF(AND(OR(F242="Выдана",F242="Возвращена"),SUMPRODUCT(($B$2:$B$500=B242)*($D$2:$D$500=D242)*(($F$2:$F$500="Выдана")+($F$2:$F$500="Возвращена")))&gt;1),"Дубль",""))</f>
        <v/>
      </c>
      <c r="I242" s="13">
        <f>IF(OR(B242="",COUNT(D242:E242)&lt;2,E242&lt;D242),"",IF(Настройки!$B$6=Настройки!$M$3,INT(E242)-INT(D242)+1,ROUNDUP(ROUND((E242-D242)*24,2)/24,0)))</f>
        <v/>
      </c>
      <c r="J242" s="14" t="n"/>
      <c r="K242" s="15">
        <f>IF(OR(I242="",J242=""),"",IF(F242="Отменена",0,ROUND(I242*J242,2)))</f>
        <v/>
      </c>
      <c r="L242" s="15">
        <f>IF(K242="","",ROUND(K242*Настройки!$B$5,2))</f>
        <v/>
      </c>
      <c r="M242" s="15">
        <f>IF(A242="","",SUMIFS(Начисления!$M$2:$M$1000,Начисления!$F$2:$F$1000,A242))</f>
        <v/>
      </c>
      <c r="N242" s="15">
        <f>IF(A242="","",SUM(K242:M242))</f>
        <v/>
      </c>
      <c r="O242" s="14" t="n"/>
      <c r="P242" s="15">
        <f>IF(A242="","",N242-O242)</f>
        <v/>
      </c>
      <c r="Q242" s="10" t="n"/>
      <c r="R242" s="10" t="n"/>
      <c r="S242" s="16">
        <f>IF(ISNUMBER(D242),D242+TIME(3,0,0),"")</f>
        <v/>
      </c>
      <c r="T242" s="10" t="n"/>
      <c r="U242" s="17">
        <f>IF(OR(B242="",COUNT(D242:E242)&lt;2,E242&lt;D242,F242="Отменена"),0,MAX(0,MIN(E242,Сводка!$B$4)-MAX(D242,Сводка!$B$2)))</f>
        <v/>
      </c>
    </row>
    <row r="243">
      <c r="A243" s="9" t="n"/>
      <c r="B243" s="10" t="n"/>
      <c r="C243" s="10" t="n"/>
      <c r="D243" s="11" t="n"/>
      <c r="E243" s="11" t="n"/>
      <c r="F243" s="10" t="n"/>
      <c r="G243" s="12">
        <f>IF(B243="","",IF(OR(COUNT(D243:E243)&lt;2,E243&lt;D243),"Проверьте даты",IF(OR(F243="Отменена",F243="Возвращена"),"",IF(SUMPRODUCT(($B$2:$B$500=B243)*($D$2:$D$500&lt;=E243)*($E$2:$E$500&gt;=D243)*($F$2:$F$500&lt;&gt;"Отменена")*($F$2:$F$500&lt;&gt;"Возвращена"))&gt;1,"Пересечение","ОК"))))</f>
        <v/>
      </c>
      <c r="H243" s="12">
        <f>IF(OR(B243="",D243=""),"",IF(AND(OR(F243="Выдана",F243="Возвращена"),SUMPRODUCT(($B$2:$B$500=B243)*($D$2:$D$500=D243)*(($F$2:$F$500="Выдана")+($F$2:$F$500="Возвращена")))&gt;1),"Дубль",""))</f>
        <v/>
      </c>
      <c r="I243" s="13">
        <f>IF(OR(B243="",COUNT(D243:E243)&lt;2,E243&lt;D243),"",IF(Настройки!$B$6=Настройки!$M$3,INT(E243)-INT(D243)+1,ROUNDUP(ROUND((E243-D243)*24,2)/24,0)))</f>
        <v/>
      </c>
      <c r="J243" s="14" t="n"/>
      <c r="K243" s="15">
        <f>IF(OR(I243="",J243=""),"",IF(F243="Отменена",0,ROUND(I243*J243,2)))</f>
        <v/>
      </c>
      <c r="L243" s="15">
        <f>IF(K243="","",ROUND(K243*Настройки!$B$5,2))</f>
        <v/>
      </c>
      <c r="M243" s="15">
        <f>IF(A243="","",SUMIFS(Начисления!$M$2:$M$1000,Начисления!$F$2:$F$1000,A243))</f>
        <v/>
      </c>
      <c r="N243" s="15">
        <f>IF(A243="","",SUM(K243:M243))</f>
        <v/>
      </c>
      <c r="O243" s="14" t="n"/>
      <c r="P243" s="15">
        <f>IF(A243="","",N243-O243)</f>
        <v/>
      </c>
      <c r="Q243" s="10" t="n"/>
      <c r="R243" s="10" t="n"/>
      <c r="S243" s="16">
        <f>IF(ISNUMBER(D243),D243+TIME(3,0,0),"")</f>
        <v/>
      </c>
      <c r="T243" s="10" t="n"/>
      <c r="U243" s="17">
        <f>IF(OR(B243="",COUNT(D243:E243)&lt;2,E243&lt;D243,F243="Отменена"),0,MAX(0,MIN(E243,Сводка!$B$4)-MAX(D243,Сводка!$B$2)))</f>
        <v/>
      </c>
    </row>
    <row r="244">
      <c r="A244" s="9" t="n"/>
      <c r="B244" s="10" t="n"/>
      <c r="C244" s="10" t="n"/>
      <c r="D244" s="11" t="n"/>
      <c r="E244" s="11" t="n"/>
      <c r="F244" s="10" t="n"/>
      <c r="G244" s="12">
        <f>IF(B244="","",IF(OR(COUNT(D244:E244)&lt;2,E244&lt;D244),"Проверьте даты",IF(OR(F244="Отменена",F244="Возвращена"),"",IF(SUMPRODUCT(($B$2:$B$500=B244)*($D$2:$D$500&lt;=E244)*($E$2:$E$500&gt;=D244)*($F$2:$F$500&lt;&gt;"Отменена")*($F$2:$F$500&lt;&gt;"Возвращена"))&gt;1,"Пересечение","ОК"))))</f>
        <v/>
      </c>
      <c r="H244" s="12">
        <f>IF(OR(B244="",D244=""),"",IF(AND(OR(F244="Выдана",F244="Возвращена"),SUMPRODUCT(($B$2:$B$500=B244)*($D$2:$D$500=D244)*(($F$2:$F$500="Выдана")+($F$2:$F$500="Возвращена")))&gt;1),"Дубль",""))</f>
        <v/>
      </c>
      <c r="I244" s="13">
        <f>IF(OR(B244="",COUNT(D244:E244)&lt;2,E244&lt;D244),"",IF(Настройки!$B$6=Настройки!$M$3,INT(E244)-INT(D244)+1,ROUNDUP(ROUND((E244-D244)*24,2)/24,0)))</f>
        <v/>
      </c>
      <c r="J244" s="14" t="n"/>
      <c r="K244" s="15">
        <f>IF(OR(I244="",J244=""),"",IF(F244="Отменена",0,ROUND(I244*J244,2)))</f>
        <v/>
      </c>
      <c r="L244" s="15">
        <f>IF(K244="","",ROUND(K244*Настройки!$B$5,2))</f>
        <v/>
      </c>
      <c r="M244" s="15">
        <f>IF(A244="","",SUMIFS(Начисления!$M$2:$M$1000,Начисления!$F$2:$F$1000,A244))</f>
        <v/>
      </c>
      <c r="N244" s="15">
        <f>IF(A244="","",SUM(K244:M244))</f>
        <v/>
      </c>
      <c r="O244" s="14" t="n"/>
      <c r="P244" s="15">
        <f>IF(A244="","",N244-O244)</f>
        <v/>
      </c>
      <c r="Q244" s="10" t="n"/>
      <c r="R244" s="10" t="n"/>
      <c r="S244" s="16">
        <f>IF(ISNUMBER(D244),D244+TIME(3,0,0),"")</f>
        <v/>
      </c>
      <c r="T244" s="10" t="n"/>
      <c r="U244" s="17">
        <f>IF(OR(B244="",COUNT(D244:E244)&lt;2,E244&lt;D244,F244="Отменена"),0,MAX(0,MIN(E244,Сводка!$B$4)-MAX(D244,Сводка!$B$2)))</f>
        <v/>
      </c>
    </row>
    <row r="245">
      <c r="A245" s="9" t="n"/>
      <c r="B245" s="10" t="n"/>
      <c r="C245" s="10" t="n"/>
      <c r="D245" s="11" t="n"/>
      <c r="E245" s="11" t="n"/>
      <c r="F245" s="10" t="n"/>
      <c r="G245" s="12">
        <f>IF(B245="","",IF(OR(COUNT(D245:E245)&lt;2,E245&lt;D245),"Проверьте даты",IF(OR(F245="Отменена",F245="Возвращена"),"",IF(SUMPRODUCT(($B$2:$B$500=B245)*($D$2:$D$500&lt;=E245)*($E$2:$E$500&gt;=D245)*($F$2:$F$500&lt;&gt;"Отменена")*($F$2:$F$500&lt;&gt;"Возвращена"))&gt;1,"Пересечение","ОК"))))</f>
        <v/>
      </c>
      <c r="H245" s="12">
        <f>IF(OR(B245="",D245=""),"",IF(AND(OR(F245="Выдана",F245="Возвращена"),SUMPRODUCT(($B$2:$B$500=B245)*($D$2:$D$500=D245)*(($F$2:$F$500="Выдана")+($F$2:$F$500="Возвращена")))&gt;1),"Дубль",""))</f>
        <v/>
      </c>
      <c r="I245" s="13">
        <f>IF(OR(B245="",COUNT(D245:E245)&lt;2,E245&lt;D245),"",IF(Настройки!$B$6=Настройки!$M$3,INT(E245)-INT(D245)+1,ROUNDUP(ROUND((E245-D245)*24,2)/24,0)))</f>
        <v/>
      </c>
      <c r="J245" s="14" t="n"/>
      <c r="K245" s="15">
        <f>IF(OR(I245="",J245=""),"",IF(F245="Отменена",0,ROUND(I245*J245,2)))</f>
        <v/>
      </c>
      <c r="L245" s="15">
        <f>IF(K245="","",ROUND(K245*Настройки!$B$5,2))</f>
        <v/>
      </c>
      <c r="M245" s="15">
        <f>IF(A245="","",SUMIFS(Начисления!$M$2:$M$1000,Начисления!$F$2:$F$1000,A245))</f>
        <v/>
      </c>
      <c r="N245" s="15">
        <f>IF(A245="","",SUM(K245:M245))</f>
        <v/>
      </c>
      <c r="O245" s="14" t="n"/>
      <c r="P245" s="15">
        <f>IF(A245="","",N245-O245)</f>
        <v/>
      </c>
      <c r="Q245" s="10" t="n"/>
      <c r="R245" s="10" t="n"/>
      <c r="S245" s="16">
        <f>IF(ISNUMBER(D245),D245+TIME(3,0,0),"")</f>
        <v/>
      </c>
      <c r="T245" s="10" t="n"/>
      <c r="U245" s="17">
        <f>IF(OR(B245="",COUNT(D245:E245)&lt;2,E245&lt;D245,F245="Отменена"),0,MAX(0,MIN(E245,Сводка!$B$4)-MAX(D245,Сводка!$B$2)))</f>
        <v/>
      </c>
    </row>
    <row r="246">
      <c r="A246" s="9" t="n"/>
      <c r="B246" s="10" t="n"/>
      <c r="C246" s="10" t="n"/>
      <c r="D246" s="11" t="n"/>
      <c r="E246" s="11" t="n"/>
      <c r="F246" s="10" t="n"/>
      <c r="G246" s="12">
        <f>IF(B246="","",IF(OR(COUNT(D246:E246)&lt;2,E246&lt;D246),"Проверьте даты",IF(OR(F246="Отменена",F246="Возвращена"),"",IF(SUMPRODUCT(($B$2:$B$500=B246)*($D$2:$D$500&lt;=E246)*($E$2:$E$500&gt;=D246)*($F$2:$F$500&lt;&gt;"Отменена")*($F$2:$F$500&lt;&gt;"Возвращена"))&gt;1,"Пересечение","ОК"))))</f>
        <v/>
      </c>
      <c r="H246" s="12">
        <f>IF(OR(B246="",D246=""),"",IF(AND(OR(F246="Выдана",F246="Возвращена"),SUMPRODUCT(($B$2:$B$500=B246)*($D$2:$D$500=D246)*(($F$2:$F$500="Выдана")+($F$2:$F$500="Возвращена")))&gt;1),"Дубль",""))</f>
        <v/>
      </c>
      <c r="I246" s="13">
        <f>IF(OR(B246="",COUNT(D246:E246)&lt;2,E246&lt;D246),"",IF(Настройки!$B$6=Настройки!$M$3,INT(E246)-INT(D246)+1,ROUNDUP(ROUND((E246-D246)*24,2)/24,0)))</f>
        <v/>
      </c>
      <c r="J246" s="14" t="n"/>
      <c r="K246" s="15">
        <f>IF(OR(I246="",J246=""),"",IF(F246="Отменена",0,ROUND(I246*J246,2)))</f>
        <v/>
      </c>
      <c r="L246" s="15">
        <f>IF(K246="","",ROUND(K246*Настройки!$B$5,2))</f>
        <v/>
      </c>
      <c r="M246" s="15">
        <f>IF(A246="","",SUMIFS(Начисления!$M$2:$M$1000,Начисления!$F$2:$F$1000,A246))</f>
        <v/>
      </c>
      <c r="N246" s="15">
        <f>IF(A246="","",SUM(K246:M246))</f>
        <v/>
      </c>
      <c r="O246" s="14" t="n"/>
      <c r="P246" s="15">
        <f>IF(A246="","",N246-O246)</f>
        <v/>
      </c>
      <c r="Q246" s="10" t="n"/>
      <c r="R246" s="10" t="n"/>
      <c r="S246" s="16">
        <f>IF(ISNUMBER(D246),D246+TIME(3,0,0),"")</f>
        <v/>
      </c>
      <c r="T246" s="10" t="n"/>
      <c r="U246" s="17">
        <f>IF(OR(B246="",COUNT(D246:E246)&lt;2,E246&lt;D246,F246="Отменена"),0,MAX(0,MIN(E246,Сводка!$B$4)-MAX(D246,Сводка!$B$2)))</f>
        <v/>
      </c>
    </row>
    <row r="247">
      <c r="A247" s="9" t="n"/>
      <c r="B247" s="10" t="n"/>
      <c r="C247" s="10" t="n"/>
      <c r="D247" s="11" t="n"/>
      <c r="E247" s="11" t="n"/>
      <c r="F247" s="10" t="n"/>
      <c r="G247" s="12">
        <f>IF(B247="","",IF(OR(COUNT(D247:E247)&lt;2,E247&lt;D247),"Проверьте даты",IF(OR(F247="Отменена",F247="Возвращена"),"",IF(SUMPRODUCT(($B$2:$B$500=B247)*($D$2:$D$500&lt;=E247)*($E$2:$E$500&gt;=D247)*($F$2:$F$500&lt;&gt;"Отменена")*($F$2:$F$500&lt;&gt;"Возвращена"))&gt;1,"Пересечение","ОК"))))</f>
        <v/>
      </c>
      <c r="H247" s="12">
        <f>IF(OR(B247="",D247=""),"",IF(AND(OR(F247="Выдана",F247="Возвращена"),SUMPRODUCT(($B$2:$B$500=B247)*($D$2:$D$500=D247)*(($F$2:$F$500="Выдана")+($F$2:$F$500="Возвращена")))&gt;1),"Дубль",""))</f>
        <v/>
      </c>
      <c r="I247" s="13">
        <f>IF(OR(B247="",COUNT(D247:E247)&lt;2,E247&lt;D247),"",IF(Настройки!$B$6=Настройки!$M$3,INT(E247)-INT(D247)+1,ROUNDUP(ROUND((E247-D247)*24,2)/24,0)))</f>
        <v/>
      </c>
      <c r="J247" s="14" t="n"/>
      <c r="K247" s="15">
        <f>IF(OR(I247="",J247=""),"",IF(F247="Отменена",0,ROUND(I247*J247,2)))</f>
        <v/>
      </c>
      <c r="L247" s="15">
        <f>IF(K247="","",ROUND(K247*Настройки!$B$5,2))</f>
        <v/>
      </c>
      <c r="M247" s="15">
        <f>IF(A247="","",SUMIFS(Начисления!$M$2:$M$1000,Начисления!$F$2:$F$1000,A247))</f>
        <v/>
      </c>
      <c r="N247" s="15">
        <f>IF(A247="","",SUM(K247:M247))</f>
        <v/>
      </c>
      <c r="O247" s="14" t="n"/>
      <c r="P247" s="15">
        <f>IF(A247="","",N247-O247)</f>
        <v/>
      </c>
      <c r="Q247" s="10" t="n"/>
      <c r="R247" s="10" t="n"/>
      <c r="S247" s="16">
        <f>IF(ISNUMBER(D247),D247+TIME(3,0,0),"")</f>
        <v/>
      </c>
      <c r="T247" s="10" t="n"/>
      <c r="U247" s="17">
        <f>IF(OR(B247="",COUNT(D247:E247)&lt;2,E247&lt;D247,F247="Отменена"),0,MAX(0,MIN(E247,Сводка!$B$4)-MAX(D247,Сводка!$B$2)))</f>
        <v/>
      </c>
    </row>
    <row r="248">
      <c r="A248" s="9" t="n"/>
      <c r="B248" s="10" t="n"/>
      <c r="C248" s="10" t="n"/>
      <c r="D248" s="11" t="n"/>
      <c r="E248" s="11" t="n"/>
      <c r="F248" s="10" t="n"/>
      <c r="G248" s="12">
        <f>IF(B248="","",IF(OR(COUNT(D248:E248)&lt;2,E248&lt;D248),"Проверьте даты",IF(OR(F248="Отменена",F248="Возвращена"),"",IF(SUMPRODUCT(($B$2:$B$500=B248)*($D$2:$D$500&lt;=E248)*($E$2:$E$500&gt;=D248)*($F$2:$F$500&lt;&gt;"Отменена")*($F$2:$F$500&lt;&gt;"Возвращена"))&gt;1,"Пересечение","ОК"))))</f>
        <v/>
      </c>
      <c r="H248" s="12">
        <f>IF(OR(B248="",D248=""),"",IF(AND(OR(F248="Выдана",F248="Возвращена"),SUMPRODUCT(($B$2:$B$500=B248)*($D$2:$D$500=D248)*(($F$2:$F$500="Выдана")+($F$2:$F$500="Возвращена")))&gt;1),"Дубль",""))</f>
        <v/>
      </c>
      <c r="I248" s="13">
        <f>IF(OR(B248="",COUNT(D248:E248)&lt;2,E248&lt;D248),"",IF(Настройки!$B$6=Настройки!$M$3,INT(E248)-INT(D248)+1,ROUNDUP(ROUND((E248-D248)*24,2)/24,0)))</f>
        <v/>
      </c>
      <c r="J248" s="14" t="n"/>
      <c r="K248" s="15">
        <f>IF(OR(I248="",J248=""),"",IF(F248="Отменена",0,ROUND(I248*J248,2)))</f>
        <v/>
      </c>
      <c r="L248" s="15">
        <f>IF(K248="","",ROUND(K248*Настройки!$B$5,2))</f>
        <v/>
      </c>
      <c r="M248" s="15">
        <f>IF(A248="","",SUMIFS(Начисления!$M$2:$M$1000,Начисления!$F$2:$F$1000,A248))</f>
        <v/>
      </c>
      <c r="N248" s="15">
        <f>IF(A248="","",SUM(K248:M248))</f>
        <v/>
      </c>
      <c r="O248" s="14" t="n"/>
      <c r="P248" s="15">
        <f>IF(A248="","",N248-O248)</f>
        <v/>
      </c>
      <c r="Q248" s="10" t="n"/>
      <c r="R248" s="10" t="n"/>
      <c r="S248" s="16">
        <f>IF(ISNUMBER(D248),D248+TIME(3,0,0),"")</f>
        <v/>
      </c>
      <c r="T248" s="10" t="n"/>
      <c r="U248" s="17">
        <f>IF(OR(B248="",COUNT(D248:E248)&lt;2,E248&lt;D248,F248="Отменена"),0,MAX(0,MIN(E248,Сводка!$B$4)-MAX(D248,Сводка!$B$2)))</f>
        <v/>
      </c>
    </row>
    <row r="249">
      <c r="A249" s="9" t="n"/>
      <c r="B249" s="10" t="n"/>
      <c r="C249" s="10" t="n"/>
      <c r="D249" s="11" t="n"/>
      <c r="E249" s="11" t="n"/>
      <c r="F249" s="10" t="n"/>
      <c r="G249" s="12">
        <f>IF(B249="","",IF(OR(COUNT(D249:E249)&lt;2,E249&lt;D249),"Проверьте даты",IF(OR(F249="Отменена",F249="Возвращена"),"",IF(SUMPRODUCT(($B$2:$B$500=B249)*($D$2:$D$500&lt;=E249)*($E$2:$E$500&gt;=D249)*($F$2:$F$500&lt;&gt;"Отменена")*($F$2:$F$500&lt;&gt;"Возвращена"))&gt;1,"Пересечение","ОК"))))</f>
        <v/>
      </c>
      <c r="H249" s="12">
        <f>IF(OR(B249="",D249=""),"",IF(AND(OR(F249="Выдана",F249="Возвращена"),SUMPRODUCT(($B$2:$B$500=B249)*($D$2:$D$500=D249)*(($F$2:$F$500="Выдана")+($F$2:$F$500="Возвращена")))&gt;1),"Дубль",""))</f>
        <v/>
      </c>
      <c r="I249" s="13">
        <f>IF(OR(B249="",COUNT(D249:E249)&lt;2,E249&lt;D249),"",IF(Настройки!$B$6=Настройки!$M$3,INT(E249)-INT(D249)+1,ROUNDUP(ROUND((E249-D249)*24,2)/24,0)))</f>
        <v/>
      </c>
      <c r="J249" s="14" t="n"/>
      <c r="K249" s="15">
        <f>IF(OR(I249="",J249=""),"",IF(F249="Отменена",0,ROUND(I249*J249,2)))</f>
        <v/>
      </c>
      <c r="L249" s="15">
        <f>IF(K249="","",ROUND(K249*Настройки!$B$5,2))</f>
        <v/>
      </c>
      <c r="M249" s="15">
        <f>IF(A249="","",SUMIFS(Начисления!$M$2:$M$1000,Начисления!$F$2:$F$1000,A249))</f>
        <v/>
      </c>
      <c r="N249" s="15">
        <f>IF(A249="","",SUM(K249:M249))</f>
        <v/>
      </c>
      <c r="O249" s="14" t="n"/>
      <c r="P249" s="15">
        <f>IF(A249="","",N249-O249)</f>
        <v/>
      </c>
      <c r="Q249" s="10" t="n"/>
      <c r="R249" s="10" t="n"/>
      <c r="S249" s="16">
        <f>IF(ISNUMBER(D249),D249+TIME(3,0,0),"")</f>
        <v/>
      </c>
      <c r="T249" s="10" t="n"/>
      <c r="U249" s="17">
        <f>IF(OR(B249="",COUNT(D249:E249)&lt;2,E249&lt;D249,F249="Отменена"),0,MAX(0,MIN(E249,Сводка!$B$4)-MAX(D249,Сводка!$B$2)))</f>
        <v/>
      </c>
    </row>
    <row r="250">
      <c r="A250" s="9" t="n"/>
      <c r="B250" s="10" t="n"/>
      <c r="C250" s="10" t="n"/>
      <c r="D250" s="11" t="n"/>
      <c r="E250" s="11" t="n"/>
      <c r="F250" s="10" t="n"/>
      <c r="G250" s="12">
        <f>IF(B250="","",IF(OR(COUNT(D250:E250)&lt;2,E250&lt;D250),"Проверьте даты",IF(OR(F250="Отменена",F250="Возвращена"),"",IF(SUMPRODUCT(($B$2:$B$500=B250)*($D$2:$D$500&lt;=E250)*($E$2:$E$500&gt;=D250)*($F$2:$F$500&lt;&gt;"Отменена")*($F$2:$F$500&lt;&gt;"Возвращена"))&gt;1,"Пересечение","ОК"))))</f>
        <v/>
      </c>
      <c r="H250" s="12">
        <f>IF(OR(B250="",D250=""),"",IF(AND(OR(F250="Выдана",F250="Возвращена"),SUMPRODUCT(($B$2:$B$500=B250)*($D$2:$D$500=D250)*(($F$2:$F$500="Выдана")+($F$2:$F$500="Возвращена")))&gt;1),"Дубль",""))</f>
        <v/>
      </c>
      <c r="I250" s="13">
        <f>IF(OR(B250="",COUNT(D250:E250)&lt;2,E250&lt;D250),"",IF(Настройки!$B$6=Настройки!$M$3,INT(E250)-INT(D250)+1,ROUNDUP(ROUND((E250-D250)*24,2)/24,0)))</f>
        <v/>
      </c>
      <c r="J250" s="14" t="n"/>
      <c r="K250" s="15">
        <f>IF(OR(I250="",J250=""),"",IF(F250="Отменена",0,ROUND(I250*J250,2)))</f>
        <v/>
      </c>
      <c r="L250" s="15">
        <f>IF(K250="","",ROUND(K250*Настройки!$B$5,2))</f>
        <v/>
      </c>
      <c r="M250" s="15">
        <f>IF(A250="","",SUMIFS(Начисления!$M$2:$M$1000,Начисления!$F$2:$F$1000,A250))</f>
        <v/>
      </c>
      <c r="N250" s="15">
        <f>IF(A250="","",SUM(K250:M250))</f>
        <v/>
      </c>
      <c r="O250" s="14" t="n"/>
      <c r="P250" s="15">
        <f>IF(A250="","",N250-O250)</f>
        <v/>
      </c>
      <c r="Q250" s="10" t="n"/>
      <c r="R250" s="10" t="n"/>
      <c r="S250" s="16">
        <f>IF(ISNUMBER(D250),D250+TIME(3,0,0),"")</f>
        <v/>
      </c>
      <c r="T250" s="10" t="n"/>
      <c r="U250" s="17">
        <f>IF(OR(B250="",COUNT(D250:E250)&lt;2,E250&lt;D250,F250="Отменена"),0,MAX(0,MIN(E250,Сводка!$B$4)-MAX(D250,Сводка!$B$2)))</f>
        <v/>
      </c>
    </row>
    <row r="251">
      <c r="A251" s="9" t="n"/>
      <c r="B251" s="10" t="n"/>
      <c r="C251" s="10" t="n"/>
      <c r="D251" s="11" t="n"/>
      <c r="E251" s="11" t="n"/>
      <c r="F251" s="10" t="n"/>
      <c r="G251" s="12">
        <f>IF(B251="","",IF(OR(COUNT(D251:E251)&lt;2,E251&lt;D251),"Проверьте даты",IF(OR(F251="Отменена",F251="Возвращена"),"",IF(SUMPRODUCT(($B$2:$B$500=B251)*($D$2:$D$500&lt;=E251)*($E$2:$E$500&gt;=D251)*($F$2:$F$500&lt;&gt;"Отменена")*($F$2:$F$500&lt;&gt;"Возвращена"))&gt;1,"Пересечение","ОК"))))</f>
        <v/>
      </c>
      <c r="H251" s="12">
        <f>IF(OR(B251="",D251=""),"",IF(AND(OR(F251="Выдана",F251="Возвращена"),SUMPRODUCT(($B$2:$B$500=B251)*($D$2:$D$500=D251)*(($F$2:$F$500="Выдана")+($F$2:$F$500="Возвращена")))&gt;1),"Дубль",""))</f>
        <v/>
      </c>
      <c r="I251" s="13">
        <f>IF(OR(B251="",COUNT(D251:E251)&lt;2,E251&lt;D251),"",IF(Настройки!$B$6=Настройки!$M$3,INT(E251)-INT(D251)+1,ROUNDUP(ROUND((E251-D251)*24,2)/24,0)))</f>
        <v/>
      </c>
      <c r="J251" s="14" t="n"/>
      <c r="K251" s="15">
        <f>IF(OR(I251="",J251=""),"",IF(F251="Отменена",0,ROUND(I251*J251,2)))</f>
        <v/>
      </c>
      <c r="L251" s="15">
        <f>IF(K251="","",ROUND(K251*Настройки!$B$5,2))</f>
        <v/>
      </c>
      <c r="M251" s="15">
        <f>IF(A251="","",SUMIFS(Начисления!$M$2:$M$1000,Начисления!$F$2:$F$1000,A251))</f>
        <v/>
      </c>
      <c r="N251" s="15">
        <f>IF(A251="","",SUM(K251:M251))</f>
        <v/>
      </c>
      <c r="O251" s="14" t="n"/>
      <c r="P251" s="15">
        <f>IF(A251="","",N251-O251)</f>
        <v/>
      </c>
      <c r="Q251" s="10" t="n"/>
      <c r="R251" s="10" t="n"/>
      <c r="S251" s="16">
        <f>IF(ISNUMBER(D251),D251+TIME(3,0,0),"")</f>
        <v/>
      </c>
      <c r="T251" s="10" t="n"/>
      <c r="U251" s="17">
        <f>IF(OR(B251="",COUNT(D251:E251)&lt;2,E251&lt;D251,F251="Отменена"),0,MAX(0,MIN(E251,Сводка!$B$4)-MAX(D251,Сводка!$B$2)))</f>
        <v/>
      </c>
    </row>
    <row r="252">
      <c r="A252" s="9" t="n"/>
      <c r="B252" s="10" t="n"/>
      <c r="C252" s="10" t="n"/>
      <c r="D252" s="11" t="n"/>
      <c r="E252" s="11" t="n"/>
      <c r="F252" s="10" t="n"/>
      <c r="G252" s="12">
        <f>IF(B252="","",IF(OR(COUNT(D252:E252)&lt;2,E252&lt;D252),"Проверьте даты",IF(OR(F252="Отменена",F252="Возвращена"),"",IF(SUMPRODUCT(($B$2:$B$500=B252)*($D$2:$D$500&lt;=E252)*($E$2:$E$500&gt;=D252)*($F$2:$F$500&lt;&gt;"Отменена")*($F$2:$F$500&lt;&gt;"Возвращена"))&gt;1,"Пересечение","ОК"))))</f>
        <v/>
      </c>
      <c r="H252" s="12">
        <f>IF(OR(B252="",D252=""),"",IF(AND(OR(F252="Выдана",F252="Возвращена"),SUMPRODUCT(($B$2:$B$500=B252)*($D$2:$D$500=D252)*(($F$2:$F$500="Выдана")+($F$2:$F$500="Возвращена")))&gt;1),"Дубль",""))</f>
        <v/>
      </c>
      <c r="I252" s="13">
        <f>IF(OR(B252="",COUNT(D252:E252)&lt;2,E252&lt;D252),"",IF(Настройки!$B$6=Настройки!$M$3,INT(E252)-INT(D252)+1,ROUNDUP(ROUND((E252-D252)*24,2)/24,0)))</f>
        <v/>
      </c>
      <c r="J252" s="14" t="n"/>
      <c r="K252" s="15">
        <f>IF(OR(I252="",J252=""),"",IF(F252="Отменена",0,ROUND(I252*J252,2)))</f>
        <v/>
      </c>
      <c r="L252" s="15">
        <f>IF(K252="","",ROUND(K252*Настройки!$B$5,2))</f>
        <v/>
      </c>
      <c r="M252" s="15">
        <f>IF(A252="","",SUMIFS(Начисления!$M$2:$M$1000,Начисления!$F$2:$F$1000,A252))</f>
        <v/>
      </c>
      <c r="N252" s="15">
        <f>IF(A252="","",SUM(K252:M252))</f>
        <v/>
      </c>
      <c r="O252" s="14" t="n"/>
      <c r="P252" s="15">
        <f>IF(A252="","",N252-O252)</f>
        <v/>
      </c>
      <c r="Q252" s="10" t="n"/>
      <c r="R252" s="10" t="n"/>
      <c r="S252" s="16">
        <f>IF(ISNUMBER(D252),D252+TIME(3,0,0),"")</f>
        <v/>
      </c>
      <c r="T252" s="10" t="n"/>
      <c r="U252" s="17">
        <f>IF(OR(B252="",COUNT(D252:E252)&lt;2,E252&lt;D252,F252="Отменена"),0,MAX(0,MIN(E252,Сводка!$B$4)-MAX(D252,Сводка!$B$2)))</f>
        <v/>
      </c>
    </row>
    <row r="253">
      <c r="A253" s="9" t="n"/>
      <c r="B253" s="10" t="n"/>
      <c r="C253" s="10" t="n"/>
      <c r="D253" s="11" t="n"/>
      <c r="E253" s="11" t="n"/>
      <c r="F253" s="10" t="n"/>
      <c r="G253" s="12">
        <f>IF(B253="","",IF(OR(COUNT(D253:E253)&lt;2,E253&lt;D253),"Проверьте даты",IF(OR(F253="Отменена",F253="Возвращена"),"",IF(SUMPRODUCT(($B$2:$B$500=B253)*($D$2:$D$500&lt;=E253)*($E$2:$E$500&gt;=D253)*($F$2:$F$500&lt;&gt;"Отменена")*($F$2:$F$500&lt;&gt;"Возвращена"))&gt;1,"Пересечение","ОК"))))</f>
        <v/>
      </c>
      <c r="H253" s="12">
        <f>IF(OR(B253="",D253=""),"",IF(AND(OR(F253="Выдана",F253="Возвращена"),SUMPRODUCT(($B$2:$B$500=B253)*($D$2:$D$500=D253)*(($F$2:$F$500="Выдана")+($F$2:$F$500="Возвращена")))&gt;1),"Дубль",""))</f>
        <v/>
      </c>
      <c r="I253" s="13">
        <f>IF(OR(B253="",COUNT(D253:E253)&lt;2,E253&lt;D253),"",IF(Настройки!$B$6=Настройки!$M$3,INT(E253)-INT(D253)+1,ROUNDUP(ROUND((E253-D253)*24,2)/24,0)))</f>
        <v/>
      </c>
      <c r="J253" s="14" t="n"/>
      <c r="K253" s="15">
        <f>IF(OR(I253="",J253=""),"",IF(F253="Отменена",0,ROUND(I253*J253,2)))</f>
        <v/>
      </c>
      <c r="L253" s="15">
        <f>IF(K253="","",ROUND(K253*Настройки!$B$5,2))</f>
        <v/>
      </c>
      <c r="M253" s="15">
        <f>IF(A253="","",SUMIFS(Начисления!$M$2:$M$1000,Начисления!$F$2:$F$1000,A253))</f>
        <v/>
      </c>
      <c r="N253" s="15">
        <f>IF(A253="","",SUM(K253:M253))</f>
        <v/>
      </c>
      <c r="O253" s="14" t="n"/>
      <c r="P253" s="15">
        <f>IF(A253="","",N253-O253)</f>
        <v/>
      </c>
      <c r="Q253" s="10" t="n"/>
      <c r="R253" s="10" t="n"/>
      <c r="S253" s="16">
        <f>IF(ISNUMBER(D253),D253+TIME(3,0,0),"")</f>
        <v/>
      </c>
      <c r="T253" s="10" t="n"/>
      <c r="U253" s="17">
        <f>IF(OR(B253="",COUNT(D253:E253)&lt;2,E253&lt;D253,F253="Отменена"),0,MAX(0,MIN(E253,Сводка!$B$4)-MAX(D253,Сводка!$B$2)))</f>
        <v/>
      </c>
    </row>
    <row r="254">
      <c r="A254" s="9" t="n"/>
      <c r="B254" s="10" t="n"/>
      <c r="C254" s="10" t="n"/>
      <c r="D254" s="11" t="n"/>
      <c r="E254" s="11" t="n"/>
      <c r="F254" s="10" t="n"/>
      <c r="G254" s="12">
        <f>IF(B254="","",IF(OR(COUNT(D254:E254)&lt;2,E254&lt;D254),"Проверьте даты",IF(OR(F254="Отменена",F254="Возвращена"),"",IF(SUMPRODUCT(($B$2:$B$500=B254)*($D$2:$D$500&lt;=E254)*($E$2:$E$500&gt;=D254)*($F$2:$F$500&lt;&gt;"Отменена")*($F$2:$F$500&lt;&gt;"Возвращена"))&gt;1,"Пересечение","ОК"))))</f>
        <v/>
      </c>
      <c r="H254" s="12">
        <f>IF(OR(B254="",D254=""),"",IF(AND(OR(F254="Выдана",F254="Возвращена"),SUMPRODUCT(($B$2:$B$500=B254)*($D$2:$D$500=D254)*(($F$2:$F$500="Выдана")+($F$2:$F$500="Возвращена")))&gt;1),"Дубль",""))</f>
        <v/>
      </c>
      <c r="I254" s="13">
        <f>IF(OR(B254="",COUNT(D254:E254)&lt;2,E254&lt;D254),"",IF(Настройки!$B$6=Настройки!$M$3,INT(E254)-INT(D254)+1,ROUNDUP(ROUND((E254-D254)*24,2)/24,0)))</f>
        <v/>
      </c>
      <c r="J254" s="14" t="n"/>
      <c r="K254" s="15">
        <f>IF(OR(I254="",J254=""),"",IF(F254="Отменена",0,ROUND(I254*J254,2)))</f>
        <v/>
      </c>
      <c r="L254" s="15">
        <f>IF(K254="","",ROUND(K254*Настройки!$B$5,2))</f>
        <v/>
      </c>
      <c r="M254" s="15">
        <f>IF(A254="","",SUMIFS(Начисления!$M$2:$M$1000,Начисления!$F$2:$F$1000,A254))</f>
        <v/>
      </c>
      <c r="N254" s="15">
        <f>IF(A254="","",SUM(K254:M254))</f>
        <v/>
      </c>
      <c r="O254" s="14" t="n"/>
      <c r="P254" s="15">
        <f>IF(A254="","",N254-O254)</f>
        <v/>
      </c>
      <c r="Q254" s="10" t="n"/>
      <c r="R254" s="10" t="n"/>
      <c r="S254" s="16">
        <f>IF(ISNUMBER(D254),D254+TIME(3,0,0),"")</f>
        <v/>
      </c>
      <c r="T254" s="10" t="n"/>
      <c r="U254" s="17">
        <f>IF(OR(B254="",COUNT(D254:E254)&lt;2,E254&lt;D254,F254="Отменена"),0,MAX(0,MIN(E254,Сводка!$B$4)-MAX(D254,Сводка!$B$2)))</f>
        <v/>
      </c>
    </row>
    <row r="255">
      <c r="A255" s="9" t="n"/>
      <c r="B255" s="10" t="n"/>
      <c r="C255" s="10" t="n"/>
      <c r="D255" s="11" t="n"/>
      <c r="E255" s="11" t="n"/>
      <c r="F255" s="10" t="n"/>
      <c r="G255" s="12">
        <f>IF(B255="","",IF(OR(COUNT(D255:E255)&lt;2,E255&lt;D255),"Проверьте даты",IF(OR(F255="Отменена",F255="Возвращена"),"",IF(SUMPRODUCT(($B$2:$B$500=B255)*($D$2:$D$500&lt;=E255)*($E$2:$E$500&gt;=D255)*($F$2:$F$500&lt;&gt;"Отменена")*($F$2:$F$500&lt;&gt;"Возвращена"))&gt;1,"Пересечение","ОК"))))</f>
        <v/>
      </c>
      <c r="H255" s="12">
        <f>IF(OR(B255="",D255=""),"",IF(AND(OR(F255="Выдана",F255="Возвращена"),SUMPRODUCT(($B$2:$B$500=B255)*($D$2:$D$500=D255)*(($F$2:$F$500="Выдана")+($F$2:$F$500="Возвращена")))&gt;1),"Дубль",""))</f>
        <v/>
      </c>
      <c r="I255" s="13">
        <f>IF(OR(B255="",COUNT(D255:E255)&lt;2,E255&lt;D255),"",IF(Настройки!$B$6=Настройки!$M$3,INT(E255)-INT(D255)+1,ROUNDUP(ROUND((E255-D255)*24,2)/24,0)))</f>
        <v/>
      </c>
      <c r="J255" s="14" t="n"/>
      <c r="K255" s="15">
        <f>IF(OR(I255="",J255=""),"",IF(F255="Отменена",0,ROUND(I255*J255,2)))</f>
        <v/>
      </c>
      <c r="L255" s="15">
        <f>IF(K255="","",ROUND(K255*Настройки!$B$5,2))</f>
        <v/>
      </c>
      <c r="M255" s="15">
        <f>IF(A255="","",SUMIFS(Начисления!$M$2:$M$1000,Начисления!$F$2:$F$1000,A255))</f>
        <v/>
      </c>
      <c r="N255" s="15">
        <f>IF(A255="","",SUM(K255:M255))</f>
        <v/>
      </c>
      <c r="O255" s="14" t="n"/>
      <c r="P255" s="15">
        <f>IF(A255="","",N255-O255)</f>
        <v/>
      </c>
      <c r="Q255" s="10" t="n"/>
      <c r="R255" s="10" t="n"/>
      <c r="S255" s="16">
        <f>IF(ISNUMBER(D255),D255+TIME(3,0,0),"")</f>
        <v/>
      </c>
      <c r="T255" s="10" t="n"/>
      <c r="U255" s="17">
        <f>IF(OR(B255="",COUNT(D255:E255)&lt;2,E255&lt;D255,F255="Отменена"),0,MAX(0,MIN(E255,Сводка!$B$4)-MAX(D255,Сводка!$B$2)))</f>
        <v/>
      </c>
    </row>
    <row r="256">
      <c r="A256" s="9" t="n"/>
      <c r="B256" s="10" t="n"/>
      <c r="C256" s="10" t="n"/>
      <c r="D256" s="11" t="n"/>
      <c r="E256" s="11" t="n"/>
      <c r="F256" s="10" t="n"/>
      <c r="G256" s="12">
        <f>IF(B256="","",IF(OR(COUNT(D256:E256)&lt;2,E256&lt;D256),"Проверьте даты",IF(OR(F256="Отменена",F256="Возвращена"),"",IF(SUMPRODUCT(($B$2:$B$500=B256)*($D$2:$D$500&lt;=E256)*($E$2:$E$500&gt;=D256)*($F$2:$F$500&lt;&gt;"Отменена")*($F$2:$F$500&lt;&gt;"Возвращена"))&gt;1,"Пересечение","ОК"))))</f>
        <v/>
      </c>
      <c r="H256" s="12">
        <f>IF(OR(B256="",D256=""),"",IF(AND(OR(F256="Выдана",F256="Возвращена"),SUMPRODUCT(($B$2:$B$500=B256)*($D$2:$D$500=D256)*(($F$2:$F$500="Выдана")+($F$2:$F$500="Возвращена")))&gt;1),"Дубль",""))</f>
        <v/>
      </c>
      <c r="I256" s="13">
        <f>IF(OR(B256="",COUNT(D256:E256)&lt;2,E256&lt;D256),"",IF(Настройки!$B$6=Настройки!$M$3,INT(E256)-INT(D256)+1,ROUNDUP(ROUND((E256-D256)*24,2)/24,0)))</f>
        <v/>
      </c>
      <c r="J256" s="14" t="n"/>
      <c r="K256" s="15">
        <f>IF(OR(I256="",J256=""),"",IF(F256="Отменена",0,ROUND(I256*J256,2)))</f>
        <v/>
      </c>
      <c r="L256" s="15">
        <f>IF(K256="","",ROUND(K256*Настройки!$B$5,2))</f>
        <v/>
      </c>
      <c r="M256" s="15">
        <f>IF(A256="","",SUMIFS(Начисления!$M$2:$M$1000,Начисления!$F$2:$F$1000,A256))</f>
        <v/>
      </c>
      <c r="N256" s="15">
        <f>IF(A256="","",SUM(K256:M256))</f>
        <v/>
      </c>
      <c r="O256" s="14" t="n"/>
      <c r="P256" s="15">
        <f>IF(A256="","",N256-O256)</f>
        <v/>
      </c>
      <c r="Q256" s="10" t="n"/>
      <c r="R256" s="10" t="n"/>
      <c r="S256" s="16">
        <f>IF(ISNUMBER(D256),D256+TIME(3,0,0),"")</f>
        <v/>
      </c>
      <c r="T256" s="10" t="n"/>
      <c r="U256" s="17">
        <f>IF(OR(B256="",COUNT(D256:E256)&lt;2,E256&lt;D256,F256="Отменена"),0,MAX(0,MIN(E256,Сводка!$B$4)-MAX(D256,Сводка!$B$2)))</f>
        <v/>
      </c>
    </row>
    <row r="257">
      <c r="A257" s="9" t="n"/>
      <c r="B257" s="10" t="n"/>
      <c r="C257" s="10" t="n"/>
      <c r="D257" s="11" t="n"/>
      <c r="E257" s="11" t="n"/>
      <c r="F257" s="10" t="n"/>
      <c r="G257" s="12">
        <f>IF(B257="","",IF(OR(COUNT(D257:E257)&lt;2,E257&lt;D257),"Проверьте даты",IF(OR(F257="Отменена",F257="Возвращена"),"",IF(SUMPRODUCT(($B$2:$B$500=B257)*($D$2:$D$500&lt;=E257)*($E$2:$E$500&gt;=D257)*($F$2:$F$500&lt;&gt;"Отменена")*($F$2:$F$500&lt;&gt;"Возвращена"))&gt;1,"Пересечение","ОК"))))</f>
        <v/>
      </c>
      <c r="H257" s="12">
        <f>IF(OR(B257="",D257=""),"",IF(AND(OR(F257="Выдана",F257="Возвращена"),SUMPRODUCT(($B$2:$B$500=B257)*($D$2:$D$500=D257)*(($F$2:$F$500="Выдана")+($F$2:$F$500="Возвращена")))&gt;1),"Дубль",""))</f>
        <v/>
      </c>
      <c r="I257" s="13">
        <f>IF(OR(B257="",COUNT(D257:E257)&lt;2,E257&lt;D257),"",IF(Настройки!$B$6=Настройки!$M$3,INT(E257)-INT(D257)+1,ROUNDUP(ROUND((E257-D257)*24,2)/24,0)))</f>
        <v/>
      </c>
      <c r="J257" s="14" t="n"/>
      <c r="K257" s="15">
        <f>IF(OR(I257="",J257=""),"",IF(F257="Отменена",0,ROUND(I257*J257,2)))</f>
        <v/>
      </c>
      <c r="L257" s="15">
        <f>IF(K257="","",ROUND(K257*Настройки!$B$5,2))</f>
        <v/>
      </c>
      <c r="M257" s="15">
        <f>IF(A257="","",SUMIFS(Начисления!$M$2:$M$1000,Начисления!$F$2:$F$1000,A257))</f>
        <v/>
      </c>
      <c r="N257" s="15">
        <f>IF(A257="","",SUM(K257:M257))</f>
        <v/>
      </c>
      <c r="O257" s="14" t="n"/>
      <c r="P257" s="15">
        <f>IF(A257="","",N257-O257)</f>
        <v/>
      </c>
      <c r="Q257" s="10" t="n"/>
      <c r="R257" s="10" t="n"/>
      <c r="S257" s="16">
        <f>IF(ISNUMBER(D257),D257+TIME(3,0,0),"")</f>
        <v/>
      </c>
      <c r="T257" s="10" t="n"/>
      <c r="U257" s="17">
        <f>IF(OR(B257="",COUNT(D257:E257)&lt;2,E257&lt;D257,F257="Отменена"),0,MAX(0,MIN(E257,Сводка!$B$4)-MAX(D257,Сводка!$B$2)))</f>
        <v/>
      </c>
    </row>
    <row r="258">
      <c r="A258" s="9" t="n"/>
      <c r="B258" s="10" t="n"/>
      <c r="C258" s="10" t="n"/>
      <c r="D258" s="11" t="n"/>
      <c r="E258" s="11" t="n"/>
      <c r="F258" s="10" t="n"/>
      <c r="G258" s="12">
        <f>IF(B258="","",IF(OR(COUNT(D258:E258)&lt;2,E258&lt;D258),"Проверьте даты",IF(OR(F258="Отменена",F258="Возвращена"),"",IF(SUMPRODUCT(($B$2:$B$500=B258)*($D$2:$D$500&lt;=E258)*($E$2:$E$500&gt;=D258)*($F$2:$F$500&lt;&gt;"Отменена")*($F$2:$F$500&lt;&gt;"Возвращена"))&gt;1,"Пересечение","ОК"))))</f>
        <v/>
      </c>
      <c r="H258" s="12">
        <f>IF(OR(B258="",D258=""),"",IF(AND(OR(F258="Выдана",F258="Возвращена"),SUMPRODUCT(($B$2:$B$500=B258)*($D$2:$D$500=D258)*(($F$2:$F$500="Выдана")+($F$2:$F$500="Возвращена")))&gt;1),"Дубль",""))</f>
        <v/>
      </c>
      <c r="I258" s="13">
        <f>IF(OR(B258="",COUNT(D258:E258)&lt;2,E258&lt;D258),"",IF(Настройки!$B$6=Настройки!$M$3,INT(E258)-INT(D258)+1,ROUNDUP(ROUND((E258-D258)*24,2)/24,0)))</f>
        <v/>
      </c>
      <c r="J258" s="14" t="n"/>
      <c r="K258" s="15">
        <f>IF(OR(I258="",J258=""),"",IF(F258="Отменена",0,ROUND(I258*J258,2)))</f>
        <v/>
      </c>
      <c r="L258" s="15">
        <f>IF(K258="","",ROUND(K258*Настройки!$B$5,2))</f>
        <v/>
      </c>
      <c r="M258" s="15">
        <f>IF(A258="","",SUMIFS(Начисления!$M$2:$M$1000,Начисления!$F$2:$F$1000,A258))</f>
        <v/>
      </c>
      <c r="N258" s="15">
        <f>IF(A258="","",SUM(K258:M258))</f>
        <v/>
      </c>
      <c r="O258" s="14" t="n"/>
      <c r="P258" s="15">
        <f>IF(A258="","",N258-O258)</f>
        <v/>
      </c>
      <c r="Q258" s="10" t="n"/>
      <c r="R258" s="10" t="n"/>
      <c r="S258" s="16">
        <f>IF(ISNUMBER(D258),D258+TIME(3,0,0),"")</f>
        <v/>
      </c>
      <c r="T258" s="10" t="n"/>
      <c r="U258" s="17">
        <f>IF(OR(B258="",COUNT(D258:E258)&lt;2,E258&lt;D258,F258="Отменена"),0,MAX(0,MIN(E258,Сводка!$B$4)-MAX(D258,Сводка!$B$2)))</f>
        <v/>
      </c>
    </row>
    <row r="259">
      <c r="A259" s="9" t="n"/>
      <c r="B259" s="10" t="n"/>
      <c r="C259" s="10" t="n"/>
      <c r="D259" s="11" t="n"/>
      <c r="E259" s="11" t="n"/>
      <c r="F259" s="10" t="n"/>
      <c r="G259" s="12">
        <f>IF(B259="","",IF(OR(COUNT(D259:E259)&lt;2,E259&lt;D259),"Проверьте даты",IF(OR(F259="Отменена",F259="Возвращена"),"",IF(SUMPRODUCT(($B$2:$B$500=B259)*($D$2:$D$500&lt;=E259)*($E$2:$E$500&gt;=D259)*($F$2:$F$500&lt;&gt;"Отменена")*($F$2:$F$500&lt;&gt;"Возвращена"))&gt;1,"Пересечение","ОК"))))</f>
        <v/>
      </c>
      <c r="H259" s="12">
        <f>IF(OR(B259="",D259=""),"",IF(AND(OR(F259="Выдана",F259="Возвращена"),SUMPRODUCT(($B$2:$B$500=B259)*($D$2:$D$500=D259)*(($F$2:$F$500="Выдана")+($F$2:$F$500="Возвращена")))&gt;1),"Дубль",""))</f>
        <v/>
      </c>
      <c r="I259" s="13">
        <f>IF(OR(B259="",COUNT(D259:E259)&lt;2,E259&lt;D259),"",IF(Настройки!$B$6=Настройки!$M$3,INT(E259)-INT(D259)+1,ROUNDUP(ROUND((E259-D259)*24,2)/24,0)))</f>
        <v/>
      </c>
      <c r="J259" s="14" t="n"/>
      <c r="K259" s="15">
        <f>IF(OR(I259="",J259=""),"",IF(F259="Отменена",0,ROUND(I259*J259,2)))</f>
        <v/>
      </c>
      <c r="L259" s="15">
        <f>IF(K259="","",ROUND(K259*Настройки!$B$5,2))</f>
        <v/>
      </c>
      <c r="M259" s="15">
        <f>IF(A259="","",SUMIFS(Начисления!$M$2:$M$1000,Начисления!$F$2:$F$1000,A259))</f>
        <v/>
      </c>
      <c r="N259" s="15">
        <f>IF(A259="","",SUM(K259:M259))</f>
        <v/>
      </c>
      <c r="O259" s="14" t="n"/>
      <c r="P259" s="15">
        <f>IF(A259="","",N259-O259)</f>
        <v/>
      </c>
      <c r="Q259" s="10" t="n"/>
      <c r="R259" s="10" t="n"/>
      <c r="S259" s="16">
        <f>IF(ISNUMBER(D259),D259+TIME(3,0,0),"")</f>
        <v/>
      </c>
      <c r="T259" s="10" t="n"/>
      <c r="U259" s="17">
        <f>IF(OR(B259="",COUNT(D259:E259)&lt;2,E259&lt;D259,F259="Отменена"),0,MAX(0,MIN(E259,Сводка!$B$4)-MAX(D259,Сводка!$B$2)))</f>
        <v/>
      </c>
    </row>
    <row r="260">
      <c r="A260" s="9" t="n"/>
      <c r="B260" s="10" t="n"/>
      <c r="C260" s="10" t="n"/>
      <c r="D260" s="11" t="n"/>
      <c r="E260" s="11" t="n"/>
      <c r="F260" s="10" t="n"/>
      <c r="G260" s="12">
        <f>IF(B260="","",IF(OR(COUNT(D260:E260)&lt;2,E260&lt;D260),"Проверьте даты",IF(OR(F260="Отменена",F260="Возвращена"),"",IF(SUMPRODUCT(($B$2:$B$500=B260)*($D$2:$D$500&lt;=E260)*($E$2:$E$500&gt;=D260)*($F$2:$F$500&lt;&gt;"Отменена")*($F$2:$F$500&lt;&gt;"Возвращена"))&gt;1,"Пересечение","ОК"))))</f>
        <v/>
      </c>
      <c r="H260" s="12">
        <f>IF(OR(B260="",D260=""),"",IF(AND(OR(F260="Выдана",F260="Возвращена"),SUMPRODUCT(($B$2:$B$500=B260)*($D$2:$D$500=D260)*(($F$2:$F$500="Выдана")+($F$2:$F$500="Возвращена")))&gt;1),"Дубль",""))</f>
        <v/>
      </c>
      <c r="I260" s="13">
        <f>IF(OR(B260="",COUNT(D260:E260)&lt;2,E260&lt;D260),"",IF(Настройки!$B$6=Настройки!$M$3,INT(E260)-INT(D260)+1,ROUNDUP(ROUND((E260-D260)*24,2)/24,0)))</f>
        <v/>
      </c>
      <c r="J260" s="14" t="n"/>
      <c r="K260" s="15">
        <f>IF(OR(I260="",J260=""),"",IF(F260="Отменена",0,ROUND(I260*J260,2)))</f>
        <v/>
      </c>
      <c r="L260" s="15">
        <f>IF(K260="","",ROUND(K260*Настройки!$B$5,2))</f>
        <v/>
      </c>
      <c r="M260" s="15">
        <f>IF(A260="","",SUMIFS(Начисления!$M$2:$M$1000,Начисления!$F$2:$F$1000,A260))</f>
        <v/>
      </c>
      <c r="N260" s="15">
        <f>IF(A260="","",SUM(K260:M260))</f>
        <v/>
      </c>
      <c r="O260" s="14" t="n"/>
      <c r="P260" s="15">
        <f>IF(A260="","",N260-O260)</f>
        <v/>
      </c>
      <c r="Q260" s="10" t="n"/>
      <c r="R260" s="10" t="n"/>
      <c r="S260" s="16">
        <f>IF(ISNUMBER(D260),D260+TIME(3,0,0),"")</f>
        <v/>
      </c>
      <c r="T260" s="10" t="n"/>
      <c r="U260" s="17">
        <f>IF(OR(B260="",COUNT(D260:E260)&lt;2,E260&lt;D260,F260="Отменена"),0,MAX(0,MIN(E260,Сводка!$B$4)-MAX(D260,Сводка!$B$2)))</f>
        <v/>
      </c>
    </row>
    <row r="261">
      <c r="A261" s="9" t="n"/>
      <c r="B261" s="10" t="n"/>
      <c r="C261" s="10" t="n"/>
      <c r="D261" s="11" t="n"/>
      <c r="E261" s="11" t="n"/>
      <c r="F261" s="10" t="n"/>
      <c r="G261" s="12">
        <f>IF(B261="","",IF(OR(COUNT(D261:E261)&lt;2,E261&lt;D261),"Проверьте даты",IF(OR(F261="Отменена",F261="Возвращена"),"",IF(SUMPRODUCT(($B$2:$B$500=B261)*($D$2:$D$500&lt;=E261)*($E$2:$E$500&gt;=D261)*($F$2:$F$500&lt;&gt;"Отменена")*($F$2:$F$500&lt;&gt;"Возвращена"))&gt;1,"Пересечение","ОК"))))</f>
        <v/>
      </c>
      <c r="H261" s="12">
        <f>IF(OR(B261="",D261=""),"",IF(AND(OR(F261="Выдана",F261="Возвращена"),SUMPRODUCT(($B$2:$B$500=B261)*($D$2:$D$500=D261)*(($F$2:$F$500="Выдана")+($F$2:$F$500="Возвращена")))&gt;1),"Дубль",""))</f>
        <v/>
      </c>
      <c r="I261" s="13">
        <f>IF(OR(B261="",COUNT(D261:E261)&lt;2,E261&lt;D261),"",IF(Настройки!$B$6=Настройки!$M$3,INT(E261)-INT(D261)+1,ROUNDUP(ROUND((E261-D261)*24,2)/24,0)))</f>
        <v/>
      </c>
      <c r="J261" s="14" t="n"/>
      <c r="K261" s="15">
        <f>IF(OR(I261="",J261=""),"",IF(F261="Отменена",0,ROUND(I261*J261,2)))</f>
        <v/>
      </c>
      <c r="L261" s="15">
        <f>IF(K261="","",ROUND(K261*Настройки!$B$5,2))</f>
        <v/>
      </c>
      <c r="M261" s="15">
        <f>IF(A261="","",SUMIFS(Начисления!$M$2:$M$1000,Начисления!$F$2:$F$1000,A261))</f>
        <v/>
      </c>
      <c r="N261" s="15">
        <f>IF(A261="","",SUM(K261:M261))</f>
        <v/>
      </c>
      <c r="O261" s="14" t="n"/>
      <c r="P261" s="15">
        <f>IF(A261="","",N261-O261)</f>
        <v/>
      </c>
      <c r="Q261" s="10" t="n"/>
      <c r="R261" s="10" t="n"/>
      <c r="S261" s="16">
        <f>IF(ISNUMBER(D261),D261+TIME(3,0,0),"")</f>
        <v/>
      </c>
      <c r="T261" s="10" t="n"/>
      <c r="U261" s="17">
        <f>IF(OR(B261="",COUNT(D261:E261)&lt;2,E261&lt;D261,F261="Отменена"),0,MAX(0,MIN(E261,Сводка!$B$4)-MAX(D261,Сводка!$B$2)))</f>
        <v/>
      </c>
    </row>
    <row r="262">
      <c r="A262" s="9" t="n"/>
      <c r="B262" s="10" t="n"/>
      <c r="C262" s="10" t="n"/>
      <c r="D262" s="11" t="n"/>
      <c r="E262" s="11" t="n"/>
      <c r="F262" s="10" t="n"/>
      <c r="G262" s="12">
        <f>IF(B262="","",IF(OR(COUNT(D262:E262)&lt;2,E262&lt;D262),"Проверьте даты",IF(OR(F262="Отменена",F262="Возвращена"),"",IF(SUMPRODUCT(($B$2:$B$500=B262)*($D$2:$D$500&lt;=E262)*($E$2:$E$500&gt;=D262)*($F$2:$F$500&lt;&gt;"Отменена")*($F$2:$F$500&lt;&gt;"Возвращена"))&gt;1,"Пересечение","ОК"))))</f>
        <v/>
      </c>
      <c r="H262" s="12">
        <f>IF(OR(B262="",D262=""),"",IF(AND(OR(F262="Выдана",F262="Возвращена"),SUMPRODUCT(($B$2:$B$500=B262)*($D$2:$D$500=D262)*(($F$2:$F$500="Выдана")+($F$2:$F$500="Возвращена")))&gt;1),"Дубль",""))</f>
        <v/>
      </c>
      <c r="I262" s="13">
        <f>IF(OR(B262="",COUNT(D262:E262)&lt;2,E262&lt;D262),"",IF(Настройки!$B$6=Настройки!$M$3,INT(E262)-INT(D262)+1,ROUNDUP(ROUND((E262-D262)*24,2)/24,0)))</f>
        <v/>
      </c>
      <c r="J262" s="14" t="n"/>
      <c r="K262" s="15">
        <f>IF(OR(I262="",J262=""),"",IF(F262="Отменена",0,ROUND(I262*J262,2)))</f>
        <v/>
      </c>
      <c r="L262" s="15">
        <f>IF(K262="","",ROUND(K262*Настройки!$B$5,2))</f>
        <v/>
      </c>
      <c r="M262" s="15">
        <f>IF(A262="","",SUMIFS(Начисления!$M$2:$M$1000,Начисления!$F$2:$F$1000,A262))</f>
        <v/>
      </c>
      <c r="N262" s="15">
        <f>IF(A262="","",SUM(K262:M262))</f>
        <v/>
      </c>
      <c r="O262" s="14" t="n"/>
      <c r="P262" s="15">
        <f>IF(A262="","",N262-O262)</f>
        <v/>
      </c>
      <c r="Q262" s="10" t="n"/>
      <c r="R262" s="10" t="n"/>
      <c r="S262" s="16">
        <f>IF(ISNUMBER(D262),D262+TIME(3,0,0),"")</f>
        <v/>
      </c>
      <c r="T262" s="10" t="n"/>
      <c r="U262" s="17">
        <f>IF(OR(B262="",COUNT(D262:E262)&lt;2,E262&lt;D262,F262="Отменена"),0,MAX(0,MIN(E262,Сводка!$B$4)-MAX(D262,Сводка!$B$2)))</f>
        <v/>
      </c>
    </row>
    <row r="263">
      <c r="A263" s="9" t="n"/>
      <c r="B263" s="10" t="n"/>
      <c r="C263" s="10" t="n"/>
      <c r="D263" s="11" t="n"/>
      <c r="E263" s="11" t="n"/>
      <c r="F263" s="10" t="n"/>
      <c r="G263" s="12">
        <f>IF(B263="","",IF(OR(COUNT(D263:E263)&lt;2,E263&lt;D263),"Проверьте даты",IF(OR(F263="Отменена",F263="Возвращена"),"",IF(SUMPRODUCT(($B$2:$B$500=B263)*($D$2:$D$500&lt;=E263)*($E$2:$E$500&gt;=D263)*($F$2:$F$500&lt;&gt;"Отменена")*($F$2:$F$500&lt;&gt;"Возвращена"))&gt;1,"Пересечение","ОК"))))</f>
        <v/>
      </c>
      <c r="H263" s="12">
        <f>IF(OR(B263="",D263=""),"",IF(AND(OR(F263="Выдана",F263="Возвращена"),SUMPRODUCT(($B$2:$B$500=B263)*($D$2:$D$500=D263)*(($F$2:$F$500="Выдана")+($F$2:$F$500="Возвращена")))&gt;1),"Дубль",""))</f>
        <v/>
      </c>
      <c r="I263" s="13">
        <f>IF(OR(B263="",COUNT(D263:E263)&lt;2,E263&lt;D263),"",IF(Настройки!$B$6=Настройки!$M$3,INT(E263)-INT(D263)+1,ROUNDUP(ROUND((E263-D263)*24,2)/24,0)))</f>
        <v/>
      </c>
      <c r="J263" s="14" t="n"/>
      <c r="K263" s="15">
        <f>IF(OR(I263="",J263=""),"",IF(F263="Отменена",0,ROUND(I263*J263,2)))</f>
        <v/>
      </c>
      <c r="L263" s="15">
        <f>IF(K263="","",ROUND(K263*Настройки!$B$5,2))</f>
        <v/>
      </c>
      <c r="M263" s="15">
        <f>IF(A263="","",SUMIFS(Начисления!$M$2:$M$1000,Начисления!$F$2:$F$1000,A263))</f>
        <v/>
      </c>
      <c r="N263" s="15">
        <f>IF(A263="","",SUM(K263:M263))</f>
        <v/>
      </c>
      <c r="O263" s="14" t="n"/>
      <c r="P263" s="15">
        <f>IF(A263="","",N263-O263)</f>
        <v/>
      </c>
      <c r="Q263" s="10" t="n"/>
      <c r="R263" s="10" t="n"/>
      <c r="S263" s="16">
        <f>IF(ISNUMBER(D263),D263+TIME(3,0,0),"")</f>
        <v/>
      </c>
      <c r="T263" s="10" t="n"/>
      <c r="U263" s="17">
        <f>IF(OR(B263="",COUNT(D263:E263)&lt;2,E263&lt;D263,F263="Отменена"),0,MAX(0,MIN(E263,Сводка!$B$4)-MAX(D263,Сводка!$B$2)))</f>
        <v/>
      </c>
    </row>
    <row r="264">
      <c r="A264" s="9" t="n"/>
      <c r="B264" s="10" t="n"/>
      <c r="C264" s="10" t="n"/>
      <c r="D264" s="11" t="n"/>
      <c r="E264" s="11" t="n"/>
      <c r="F264" s="10" t="n"/>
      <c r="G264" s="12">
        <f>IF(B264="","",IF(OR(COUNT(D264:E264)&lt;2,E264&lt;D264),"Проверьте даты",IF(OR(F264="Отменена",F264="Возвращена"),"",IF(SUMPRODUCT(($B$2:$B$500=B264)*($D$2:$D$500&lt;=E264)*($E$2:$E$500&gt;=D264)*($F$2:$F$500&lt;&gt;"Отменена")*($F$2:$F$500&lt;&gt;"Возвращена"))&gt;1,"Пересечение","ОК"))))</f>
        <v/>
      </c>
      <c r="H264" s="12">
        <f>IF(OR(B264="",D264=""),"",IF(AND(OR(F264="Выдана",F264="Возвращена"),SUMPRODUCT(($B$2:$B$500=B264)*($D$2:$D$500=D264)*(($F$2:$F$500="Выдана")+($F$2:$F$500="Возвращена")))&gt;1),"Дубль",""))</f>
        <v/>
      </c>
      <c r="I264" s="13">
        <f>IF(OR(B264="",COUNT(D264:E264)&lt;2,E264&lt;D264),"",IF(Настройки!$B$6=Настройки!$M$3,INT(E264)-INT(D264)+1,ROUNDUP(ROUND((E264-D264)*24,2)/24,0)))</f>
        <v/>
      </c>
      <c r="J264" s="14" t="n"/>
      <c r="K264" s="15">
        <f>IF(OR(I264="",J264=""),"",IF(F264="Отменена",0,ROUND(I264*J264,2)))</f>
        <v/>
      </c>
      <c r="L264" s="15">
        <f>IF(K264="","",ROUND(K264*Настройки!$B$5,2))</f>
        <v/>
      </c>
      <c r="M264" s="15">
        <f>IF(A264="","",SUMIFS(Начисления!$M$2:$M$1000,Начисления!$F$2:$F$1000,A264))</f>
        <v/>
      </c>
      <c r="N264" s="15">
        <f>IF(A264="","",SUM(K264:M264))</f>
        <v/>
      </c>
      <c r="O264" s="14" t="n"/>
      <c r="P264" s="15">
        <f>IF(A264="","",N264-O264)</f>
        <v/>
      </c>
      <c r="Q264" s="10" t="n"/>
      <c r="R264" s="10" t="n"/>
      <c r="S264" s="16">
        <f>IF(ISNUMBER(D264),D264+TIME(3,0,0),"")</f>
        <v/>
      </c>
      <c r="T264" s="10" t="n"/>
      <c r="U264" s="17">
        <f>IF(OR(B264="",COUNT(D264:E264)&lt;2,E264&lt;D264,F264="Отменена"),0,MAX(0,MIN(E264,Сводка!$B$4)-MAX(D264,Сводка!$B$2)))</f>
        <v/>
      </c>
    </row>
    <row r="265">
      <c r="A265" s="9" t="n"/>
      <c r="B265" s="10" t="n"/>
      <c r="C265" s="10" t="n"/>
      <c r="D265" s="11" t="n"/>
      <c r="E265" s="11" t="n"/>
      <c r="F265" s="10" t="n"/>
      <c r="G265" s="12">
        <f>IF(B265="","",IF(OR(COUNT(D265:E265)&lt;2,E265&lt;D265),"Проверьте даты",IF(OR(F265="Отменена",F265="Возвращена"),"",IF(SUMPRODUCT(($B$2:$B$500=B265)*($D$2:$D$500&lt;=E265)*($E$2:$E$500&gt;=D265)*($F$2:$F$500&lt;&gt;"Отменена")*($F$2:$F$500&lt;&gt;"Возвращена"))&gt;1,"Пересечение","ОК"))))</f>
        <v/>
      </c>
      <c r="H265" s="12">
        <f>IF(OR(B265="",D265=""),"",IF(AND(OR(F265="Выдана",F265="Возвращена"),SUMPRODUCT(($B$2:$B$500=B265)*($D$2:$D$500=D265)*(($F$2:$F$500="Выдана")+($F$2:$F$500="Возвращена")))&gt;1),"Дубль",""))</f>
        <v/>
      </c>
      <c r="I265" s="13">
        <f>IF(OR(B265="",COUNT(D265:E265)&lt;2,E265&lt;D265),"",IF(Настройки!$B$6=Настройки!$M$3,INT(E265)-INT(D265)+1,ROUNDUP(ROUND((E265-D265)*24,2)/24,0)))</f>
        <v/>
      </c>
      <c r="J265" s="14" t="n"/>
      <c r="K265" s="15">
        <f>IF(OR(I265="",J265=""),"",IF(F265="Отменена",0,ROUND(I265*J265,2)))</f>
        <v/>
      </c>
      <c r="L265" s="15">
        <f>IF(K265="","",ROUND(K265*Настройки!$B$5,2))</f>
        <v/>
      </c>
      <c r="M265" s="15">
        <f>IF(A265="","",SUMIFS(Начисления!$M$2:$M$1000,Начисления!$F$2:$F$1000,A265))</f>
        <v/>
      </c>
      <c r="N265" s="15">
        <f>IF(A265="","",SUM(K265:M265))</f>
        <v/>
      </c>
      <c r="O265" s="14" t="n"/>
      <c r="P265" s="15">
        <f>IF(A265="","",N265-O265)</f>
        <v/>
      </c>
      <c r="Q265" s="10" t="n"/>
      <c r="R265" s="10" t="n"/>
      <c r="S265" s="16">
        <f>IF(ISNUMBER(D265),D265+TIME(3,0,0),"")</f>
        <v/>
      </c>
      <c r="T265" s="10" t="n"/>
      <c r="U265" s="17">
        <f>IF(OR(B265="",COUNT(D265:E265)&lt;2,E265&lt;D265,F265="Отменена"),0,MAX(0,MIN(E265,Сводка!$B$4)-MAX(D265,Сводка!$B$2)))</f>
        <v/>
      </c>
    </row>
    <row r="266">
      <c r="A266" s="9" t="n"/>
      <c r="B266" s="10" t="n"/>
      <c r="C266" s="10" t="n"/>
      <c r="D266" s="11" t="n"/>
      <c r="E266" s="11" t="n"/>
      <c r="F266" s="10" t="n"/>
      <c r="G266" s="12">
        <f>IF(B266="","",IF(OR(COUNT(D266:E266)&lt;2,E266&lt;D266),"Проверьте даты",IF(OR(F266="Отменена",F266="Возвращена"),"",IF(SUMPRODUCT(($B$2:$B$500=B266)*($D$2:$D$500&lt;=E266)*($E$2:$E$500&gt;=D266)*($F$2:$F$500&lt;&gt;"Отменена")*($F$2:$F$500&lt;&gt;"Возвращена"))&gt;1,"Пересечение","ОК"))))</f>
        <v/>
      </c>
      <c r="H266" s="12">
        <f>IF(OR(B266="",D266=""),"",IF(AND(OR(F266="Выдана",F266="Возвращена"),SUMPRODUCT(($B$2:$B$500=B266)*($D$2:$D$500=D266)*(($F$2:$F$500="Выдана")+($F$2:$F$500="Возвращена")))&gt;1),"Дубль",""))</f>
        <v/>
      </c>
      <c r="I266" s="13">
        <f>IF(OR(B266="",COUNT(D266:E266)&lt;2,E266&lt;D266),"",IF(Настройки!$B$6=Настройки!$M$3,INT(E266)-INT(D266)+1,ROUNDUP(ROUND((E266-D266)*24,2)/24,0)))</f>
        <v/>
      </c>
      <c r="J266" s="14" t="n"/>
      <c r="K266" s="15">
        <f>IF(OR(I266="",J266=""),"",IF(F266="Отменена",0,ROUND(I266*J266,2)))</f>
        <v/>
      </c>
      <c r="L266" s="15">
        <f>IF(K266="","",ROUND(K266*Настройки!$B$5,2))</f>
        <v/>
      </c>
      <c r="M266" s="15">
        <f>IF(A266="","",SUMIFS(Начисления!$M$2:$M$1000,Начисления!$F$2:$F$1000,A266))</f>
        <v/>
      </c>
      <c r="N266" s="15">
        <f>IF(A266="","",SUM(K266:M266))</f>
        <v/>
      </c>
      <c r="O266" s="14" t="n"/>
      <c r="P266" s="15">
        <f>IF(A266="","",N266-O266)</f>
        <v/>
      </c>
      <c r="Q266" s="10" t="n"/>
      <c r="R266" s="10" t="n"/>
      <c r="S266" s="16">
        <f>IF(ISNUMBER(D266),D266+TIME(3,0,0),"")</f>
        <v/>
      </c>
      <c r="T266" s="10" t="n"/>
      <c r="U266" s="17">
        <f>IF(OR(B266="",COUNT(D266:E266)&lt;2,E266&lt;D266,F266="Отменена"),0,MAX(0,MIN(E266,Сводка!$B$4)-MAX(D266,Сводка!$B$2)))</f>
        <v/>
      </c>
    </row>
    <row r="267">
      <c r="A267" s="9" t="n"/>
      <c r="B267" s="10" t="n"/>
      <c r="C267" s="10" t="n"/>
      <c r="D267" s="11" t="n"/>
      <c r="E267" s="11" t="n"/>
      <c r="F267" s="10" t="n"/>
      <c r="G267" s="12">
        <f>IF(B267="","",IF(OR(COUNT(D267:E267)&lt;2,E267&lt;D267),"Проверьте даты",IF(OR(F267="Отменена",F267="Возвращена"),"",IF(SUMPRODUCT(($B$2:$B$500=B267)*($D$2:$D$500&lt;=E267)*($E$2:$E$500&gt;=D267)*($F$2:$F$500&lt;&gt;"Отменена")*($F$2:$F$500&lt;&gt;"Возвращена"))&gt;1,"Пересечение","ОК"))))</f>
        <v/>
      </c>
      <c r="H267" s="12">
        <f>IF(OR(B267="",D267=""),"",IF(AND(OR(F267="Выдана",F267="Возвращена"),SUMPRODUCT(($B$2:$B$500=B267)*($D$2:$D$500=D267)*(($F$2:$F$500="Выдана")+($F$2:$F$500="Возвращена")))&gt;1),"Дубль",""))</f>
        <v/>
      </c>
      <c r="I267" s="13">
        <f>IF(OR(B267="",COUNT(D267:E267)&lt;2,E267&lt;D267),"",IF(Настройки!$B$6=Настройки!$M$3,INT(E267)-INT(D267)+1,ROUNDUP(ROUND((E267-D267)*24,2)/24,0)))</f>
        <v/>
      </c>
      <c r="J267" s="14" t="n"/>
      <c r="K267" s="15">
        <f>IF(OR(I267="",J267=""),"",IF(F267="Отменена",0,ROUND(I267*J267,2)))</f>
        <v/>
      </c>
      <c r="L267" s="15">
        <f>IF(K267="","",ROUND(K267*Настройки!$B$5,2))</f>
        <v/>
      </c>
      <c r="M267" s="15">
        <f>IF(A267="","",SUMIFS(Начисления!$M$2:$M$1000,Начисления!$F$2:$F$1000,A267))</f>
        <v/>
      </c>
      <c r="N267" s="15">
        <f>IF(A267="","",SUM(K267:M267))</f>
        <v/>
      </c>
      <c r="O267" s="14" t="n"/>
      <c r="P267" s="15">
        <f>IF(A267="","",N267-O267)</f>
        <v/>
      </c>
      <c r="Q267" s="10" t="n"/>
      <c r="R267" s="10" t="n"/>
      <c r="S267" s="16">
        <f>IF(ISNUMBER(D267),D267+TIME(3,0,0),"")</f>
        <v/>
      </c>
      <c r="T267" s="10" t="n"/>
      <c r="U267" s="17">
        <f>IF(OR(B267="",COUNT(D267:E267)&lt;2,E267&lt;D267,F267="Отменена"),0,MAX(0,MIN(E267,Сводка!$B$4)-MAX(D267,Сводка!$B$2)))</f>
        <v/>
      </c>
    </row>
    <row r="268">
      <c r="A268" s="9" t="n"/>
      <c r="B268" s="10" t="n"/>
      <c r="C268" s="10" t="n"/>
      <c r="D268" s="11" t="n"/>
      <c r="E268" s="11" t="n"/>
      <c r="F268" s="10" t="n"/>
      <c r="G268" s="12">
        <f>IF(B268="","",IF(OR(COUNT(D268:E268)&lt;2,E268&lt;D268),"Проверьте даты",IF(OR(F268="Отменена",F268="Возвращена"),"",IF(SUMPRODUCT(($B$2:$B$500=B268)*($D$2:$D$500&lt;=E268)*($E$2:$E$500&gt;=D268)*($F$2:$F$500&lt;&gt;"Отменена")*($F$2:$F$500&lt;&gt;"Возвращена"))&gt;1,"Пересечение","ОК"))))</f>
        <v/>
      </c>
      <c r="H268" s="12">
        <f>IF(OR(B268="",D268=""),"",IF(AND(OR(F268="Выдана",F268="Возвращена"),SUMPRODUCT(($B$2:$B$500=B268)*($D$2:$D$500=D268)*(($F$2:$F$500="Выдана")+($F$2:$F$500="Возвращена")))&gt;1),"Дубль",""))</f>
        <v/>
      </c>
      <c r="I268" s="13">
        <f>IF(OR(B268="",COUNT(D268:E268)&lt;2,E268&lt;D268),"",IF(Настройки!$B$6=Настройки!$M$3,INT(E268)-INT(D268)+1,ROUNDUP(ROUND((E268-D268)*24,2)/24,0)))</f>
        <v/>
      </c>
      <c r="J268" s="14" t="n"/>
      <c r="K268" s="15">
        <f>IF(OR(I268="",J268=""),"",IF(F268="Отменена",0,ROUND(I268*J268,2)))</f>
        <v/>
      </c>
      <c r="L268" s="15">
        <f>IF(K268="","",ROUND(K268*Настройки!$B$5,2))</f>
        <v/>
      </c>
      <c r="M268" s="15">
        <f>IF(A268="","",SUMIFS(Начисления!$M$2:$M$1000,Начисления!$F$2:$F$1000,A268))</f>
        <v/>
      </c>
      <c r="N268" s="15">
        <f>IF(A268="","",SUM(K268:M268))</f>
        <v/>
      </c>
      <c r="O268" s="14" t="n"/>
      <c r="P268" s="15">
        <f>IF(A268="","",N268-O268)</f>
        <v/>
      </c>
      <c r="Q268" s="10" t="n"/>
      <c r="R268" s="10" t="n"/>
      <c r="S268" s="16">
        <f>IF(ISNUMBER(D268),D268+TIME(3,0,0),"")</f>
        <v/>
      </c>
      <c r="T268" s="10" t="n"/>
      <c r="U268" s="17">
        <f>IF(OR(B268="",COUNT(D268:E268)&lt;2,E268&lt;D268,F268="Отменена"),0,MAX(0,MIN(E268,Сводка!$B$4)-MAX(D268,Сводка!$B$2)))</f>
        <v/>
      </c>
    </row>
    <row r="269">
      <c r="A269" s="9" t="n"/>
      <c r="B269" s="10" t="n"/>
      <c r="C269" s="10" t="n"/>
      <c r="D269" s="11" t="n"/>
      <c r="E269" s="11" t="n"/>
      <c r="F269" s="10" t="n"/>
      <c r="G269" s="12">
        <f>IF(B269="","",IF(OR(COUNT(D269:E269)&lt;2,E269&lt;D269),"Проверьте даты",IF(OR(F269="Отменена",F269="Возвращена"),"",IF(SUMPRODUCT(($B$2:$B$500=B269)*($D$2:$D$500&lt;=E269)*($E$2:$E$500&gt;=D269)*($F$2:$F$500&lt;&gt;"Отменена")*($F$2:$F$500&lt;&gt;"Возвращена"))&gt;1,"Пересечение","ОК"))))</f>
        <v/>
      </c>
      <c r="H269" s="12">
        <f>IF(OR(B269="",D269=""),"",IF(AND(OR(F269="Выдана",F269="Возвращена"),SUMPRODUCT(($B$2:$B$500=B269)*($D$2:$D$500=D269)*(($F$2:$F$500="Выдана")+($F$2:$F$500="Возвращена")))&gt;1),"Дубль",""))</f>
        <v/>
      </c>
      <c r="I269" s="13">
        <f>IF(OR(B269="",COUNT(D269:E269)&lt;2,E269&lt;D269),"",IF(Настройки!$B$6=Настройки!$M$3,INT(E269)-INT(D269)+1,ROUNDUP(ROUND((E269-D269)*24,2)/24,0)))</f>
        <v/>
      </c>
      <c r="J269" s="14" t="n"/>
      <c r="K269" s="15">
        <f>IF(OR(I269="",J269=""),"",IF(F269="Отменена",0,ROUND(I269*J269,2)))</f>
        <v/>
      </c>
      <c r="L269" s="15">
        <f>IF(K269="","",ROUND(K269*Настройки!$B$5,2))</f>
        <v/>
      </c>
      <c r="M269" s="15">
        <f>IF(A269="","",SUMIFS(Начисления!$M$2:$M$1000,Начисления!$F$2:$F$1000,A269))</f>
        <v/>
      </c>
      <c r="N269" s="15">
        <f>IF(A269="","",SUM(K269:M269))</f>
        <v/>
      </c>
      <c r="O269" s="14" t="n"/>
      <c r="P269" s="15">
        <f>IF(A269="","",N269-O269)</f>
        <v/>
      </c>
      <c r="Q269" s="10" t="n"/>
      <c r="R269" s="10" t="n"/>
      <c r="S269" s="16">
        <f>IF(ISNUMBER(D269),D269+TIME(3,0,0),"")</f>
        <v/>
      </c>
      <c r="T269" s="10" t="n"/>
      <c r="U269" s="17">
        <f>IF(OR(B269="",COUNT(D269:E269)&lt;2,E269&lt;D269,F269="Отменена"),0,MAX(0,MIN(E269,Сводка!$B$4)-MAX(D269,Сводка!$B$2)))</f>
        <v/>
      </c>
    </row>
    <row r="270">
      <c r="A270" s="9" t="n"/>
      <c r="B270" s="10" t="n"/>
      <c r="C270" s="10" t="n"/>
      <c r="D270" s="11" t="n"/>
      <c r="E270" s="11" t="n"/>
      <c r="F270" s="10" t="n"/>
      <c r="G270" s="12">
        <f>IF(B270="","",IF(OR(COUNT(D270:E270)&lt;2,E270&lt;D270),"Проверьте даты",IF(OR(F270="Отменена",F270="Возвращена"),"",IF(SUMPRODUCT(($B$2:$B$500=B270)*($D$2:$D$500&lt;=E270)*($E$2:$E$500&gt;=D270)*($F$2:$F$500&lt;&gt;"Отменена")*($F$2:$F$500&lt;&gt;"Возвращена"))&gt;1,"Пересечение","ОК"))))</f>
        <v/>
      </c>
      <c r="H270" s="12">
        <f>IF(OR(B270="",D270=""),"",IF(AND(OR(F270="Выдана",F270="Возвращена"),SUMPRODUCT(($B$2:$B$500=B270)*($D$2:$D$500=D270)*(($F$2:$F$500="Выдана")+($F$2:$F$500="Возвращена")))&gt;1),"Дубль",""))</f>
        <v/>
      </c>
      <c r="I270" s="13">
        <f>IF(OR(B270="",COUNT(D270:E270)&lt;2,E270&lt;D270),"",IF(Настройки!$B$6=Настройки!$M$3,INT(E270)-INT(D270)+1,ROUNDUP(ROUND((E270-D270)*24,2)/24,0)))</f>
        <v/>
      </c>
      <c r="J270" s="14" t="n"/>
      <c r="K270" s="15">
        <f>IF(OR(I270="",J270=""),"",IF(F270="Отменена",0,ROUND(I270*J270,2)))</f>
        <v/>
      </c>
      <c r="L270" s="15">
        <f>IF(K270="","",ROUND(K270*Настройки!$B$5,2))</f>
        <v/>
      </c>
      <c r="M270" s="15">
        <f>IF(A270="","",SUMIFS(Начисления!$M$2:$M$1000,Начисления!$F$2:$F$1000,A270))</f>
        <v/>
      </c>
      <c r="N270" s="15">
        <f>IF(A270="","",SUM(K270:M270))</f>
        <v/>
      </c>
      <c r="O270" s="14" t="n"/>
      <c r="P270" s="15">
        <f>IF(A270="","",N270-O270)</f>
        <v/>
      </c>
      <c r="Q270" s="10" t="n"/>
      <c r="R270" s="10" t="n"/>
      <c r="S270" s="16">
        <f>IF(ISNUMBER(D270),D270+TIME(3,0,0),"")</f>
        <v/>
      </c>
      <c r="T270" s="10" t="n"/>
      <c r="U270" s="17">
        <f>IF(OR(B270="",COUNT(D270:E270)&lt;2,E270&lt;D270,F270="Отменена"),0,MAX(0,MIN(E270,Сводка!$B$4)-MAX(D270,Сводка!$B$2)))</f>
        <v/>
      </c>
    </row>
    <row r="271">
      <c r="A271" s="9" t="n"/>
      <c r="B271" s="10" t="n"/>
      <c r="C271" s="10" t="n"/>
      <c r="D271" s="11" t="n"/>
      <c r="E271" s="11" t="n"/>
      <c r="F271" s="10" t="n"/>
      <c r="G271" s="12">
        <f>IF(B271="","",IF(OR(COUNT(D271:E271)&lt;2,E271&lt;D271),"Проверьте даты",IF(OR(F271="Отменена",F271="Возвращена"),"",IF(SUMPRODUCT(($B$2:$B$500=B271)*($D$2:$D$500&lt;=E271)*($E$2:$E$500&gt;=D271)*($F$2:$F$500&lt;&gt;"Отменена")*($F$2:$F$500&lt;&gt;"Возвращена"))&gt;1,"Пересечение","ОК"))))</f>
        <v/>
      </c>
      <c r="H271" s="12">
        <f>IF(OR(B271="",D271=""),"",IF(AND(OR(F271="Выдана",F271="Возвращена"),SUMPRODUCT(($B$2:$B$500=B271)*($D$2:$D$500=D271)*(($F$2:$F$500="Выдана")+($F$2:$F$500="Возвращена")))&gt;1),"Дубль",""))</f>
        <v/>
      </c>
      <c r="I271" s="13">
        <f>IF(OR(B271="",COUNT(D271:E271)&lt;2,E271&lt;D271),"",IF(Настройки!$B$6=Настройки!$M$3,INT(E271)-INT(D271)+1,ROUNDUP(ROUND((E271-D271)*24,2)/24,0)))</f>
        <v/>
      </c>
      <c r="J271" s="14" t="n"/>
      <c r="K271" s="15">
        <f>IF(OR(I271="",J271=""),"",IF(F271="Отменена",0,ROUND(I271*J271,2)))</f>
        <v/>
      </c>
      <c r="L271" s="15">
        <f>IF(K271="","",ROUND(K271*Настройки!$B$5,2))</f>
        <v/>
      </c>
      <c r="M271" s="15">
        <f>IF(A271="","",SUMIFS(Начисления!$M$2:$M$1000,Начисления!$F$2:$F$1000,A271))</f>
        <v/>
      </c>
      <c r="N271" s="15">
        <f>IF(A271="","",SUM(K271:M271))</f>
        <v/>
      </c>
      <c r="O271" s="14" t="n"/>
      <c r="P271" s="15">
        <f>IF(A271="","",N271-O271)</f>
        <v/>
      </c>
      <c r="Q271" s="10" t="n"/>
      <c r="R271" s="10" t="n"/>
      <c r="S271" s="16">
        <f>IF(ISNUMBER(D271),D271+TIME(3,0,0),"")</f>
        <v/>
      </c>
      <c r="T271" s="10" t="n"/>
      <c r="U271" s="17">
        <f>IF(OR(B271="",COUNT(D271:E271)&lt;2,E271&lt;D271,F271="Отменена"),0,MAX(0,MIN(E271,Сводка!$B$4)-MAX(D271,Сводка!$B$2)))</f>
        <v/>
      </c>
    </row>
    <row r="272">
      <c r="A272" s="9" t="n"/>
      <c r="B272" s="10" t="n"/>
      <c r="C272" s="10" t="n"/>
      <c r="D272" s="11" t="n"/>
      <c r="E272" s="11" t="n"/>
      <c r="F272" s="10" t="n"/>
      <c r="G272" s="12">
        <f>IF(B272="","",IF(OR(COUNT(D272:E272)&lt;2,E272&lt;D272),"Проверьте даты",IF(OR(F272="Отменена",F272="Возвращена"),"",IF(SUMPRODUCT(($B$2:$B$500=B272)*($D$2:$D$500&lt;=E272)*($E$2:$E$500&gt;=D272)*($F$2:$F$500&lt;&gt;"Отменена")*($F$2:$F$500&lt;&gt;"Возвращена"))&gt;1,"Пересечение","ОК"))))</f>
        <v/>
      </c>
      <c r="H272" s="12">
        <f>IF(OR(B272="",D272=""),"",IF(AND(OR(F272="Выдана",F272="Возвращена"),SUMPRODUCT(($B$2:$B$500=B272)*($D$2:$D$500=D272)*(($F$2:$F$500="Выдана")+($F$2:$F$500="Возвращена")))&gt;1),"Дубль",""))</f>
        <v/>
      </c>
      <c r="I272" s="13">
        <f>IF(OR(B272="",COUNT(D272:E272)&lt;2,E272&lt;D272),"",IF(Настройки!$B$6=Настройки!$M$3,INT(E272)-INT(D272)+1,ROUNDUP(ROUND((E272-D272)*24,2)/24,0)))</f>
        <v/>
      </c>
      <c r="J272" s="14" t="n"/>
      <c r="K272" s="15">
        <f>IF(OR(I272="",J272=""),"",IF(F272="Отменена",0,ROUND(I272*J272,2)))</f>
        <v/>
      </c>
      <c r="L272" s="15">
        <f>IF(K272="","",ROUND(K272*Настройки!$B$5,2))</f>
        <v/>
      </c>
      <c r="M272" s="15">
        <f>IF(A272="","",SUMIFS(Начисления!$M$2:$M$1000,Начисления!$F$2:$F$1000,A272))</f>
        <v/>
      </c>
      <c r="N272" s="15">
        <f>IF(A272="","",SUM(K272:M272))</f>
        <v/>
      </c>
      <c r="O272" s="14" t="n"/>
      <c r="P272" s="15">
        <f>IF(A272="","",N272-O272)</f>
        <v/>
      </c>
      <c r="Q272" s="10" t="n"/>
      <c r="R272" s="10" t="n"/>
      <c r="S272" s="16">
        <f>IF(ISNUMBER(D272),D272+TIME(3,0,0),"")</f>
        <v/>
      </c>
      <c r="T272" s="10" t="n"/>
      <c r="U272" s="17">
        <f>IF(OR(B272="",COUNT(D272:E272)&lt;2,E272&lt;D272,F272="Отменена"),0,MAX(0,MIN(E272,Сводка!$B$4)-MAX(D272,Сводка!$B$2)))</f>
        <v/>
      </c>
    </row>
    <row r="273">
      <c r="A273" s="9" t="n"/>
      <c r="B273" s="10" t="n"/>
      <c r="C273" s="10" t="n"/>
      <c r="D273" s="11" t="n"/>
      <c r="E273" s="11" t="n"/>
      <c r="F273" s="10" t="n"/>
      <c r="G273" s="12">
        <f>IF(B273="","",IF(OR(COUNT(D273:E273)&lt;2,E273&lt;D273),"Проверьте даты",IF(OR(F273="Отменена",F273="Возвращена"),"",IF(SUMPRODUCT(($B$2:$B$500=B273)*($D$2:$D$500&lt;=E273)*($E$2:$E$500&gt;=D273)*($F$2:$F$500&lt;&gt;"Отменена")*($F$2:$F$500&lt;&gt;"Возвращена"))&gt;1,"Пересечение","ОК"))))</f>
        <v/>
      </c>
      <c r="H273" s="12">
        <f>IF(OR(B273="",D273=""),"",IF(AND(OR(F273="Выдана",F273="Возвращена"),SUMPRODUCT(($B$2:$B$500=B273)*($D$2:$D$500=D273)*(($F$2:$F$500="Выдана")+($F$2:$F$500="Возвращена")))&gt;1),"Дубль",""))</f>
        <v/>
      </c>
      <c r="I273" s="13">
        <f>IF(OR(B273="",COUNT(D273:E273)&lt;2,E273&lt;D273),"",IF(Настройки!$B$6=Настройки!$M$3,INT(E273)-INT(D273)+1,ROUNDUP(ROUND((E273-D273)*24,2)/24,0)))</f>
        <v/>
      </c>
      <c r="J273" s="14" t="n"/>
      <c r="K273" s="15">
        <f>IF(OR(I273="",J273=""),"",IF(F273="Отменена",0,ROUND(I273*J273,2)))</f>
        <v/>
      </c>
      <c r="L273" s="15">
        <f>IF(K273="","",ROUND(K273*Настройки!$B$5,2))</f>
        <v/>
      </c>
      <c r="M273" s="15">
        <f>IF(A273="","",SUMIFS(Начисления!$M$2:$M$1000,Начисления!$F$2:$F$1000,A273))</f>
        <v/>
      </c>
      <c r="N273" s="15">
        <f>IF(A273="","",SUM(K273:M273))</f>
        <v/>
      </c>
      <c r="O273" s="14" t="n"/>
      <c r="P273" s="15">
        <f>IF(A273="","",N273-O273)</f>
        <v/>
      </c>
      <c r="Q273" s="10" t="n"/>
      <c r="R273" s="10" t="n"/>
      <c r="S273" s="16">
        <f>IF(ISNUMBER(D273),D273+TIME(3,0,0),"")</f>
        <v/>
      </c>
      <c r="T273" s="10" t="n"/>
      <c r="U273" s="17">
        <f>IF(OR(B273="",COUNT(D273:E273)&lt;2,E273&lt;D273,F273="Отменена"),0,MAX(0,MIN(E273,Сводка!$B$4)-MAX(D273,Сводка!$B$2)))</f>
        <v/>
      </c>
    </row>
    <row r="274">
      <c r="A274" s="9" t="n"/>
      <c r="B274" s="10" t="n"/>
      <c r="C274" s="10" t="n"/>
      <c r="D274" s="11" t="n"/>
      <c r="E274" s="11" t="n"/>
      <c r="F274" s="10" t="n"/>
      <c r="G274" s="12">
        <f>IF(B274="","",IF(OR(COUNT(D274:E274)&lt;2,E274&lt;D274),"Проверьте даты",IF(OR(F274="Отменена",F274="Возвращена"),"",IF(SUMPRODUCT(($B$2:$B$500=B274)*($D$2:$D$500&lt;=E274)*($E$2:$E$500&gt;=D274)*($F$2:$F$500&lt;&gt;"Отменена")*($F$2:$F$500&lt;&gt;"Возвращена"))&gt;1,"Пересечение","ОК"))))</f>
        <v/>
      </c>
      <c r="H274" s="12">
        <f>IF(OR(B274="",D274=""),"",IF(AND(OR(F274="Выдана",F274="Возвращена"),SUMPRODUCT(($B$2:$B$500=B274)*($D$2:$D$500=D274)*(($F$2:$F$500="Выдана")+($F$2:$F$500="Возвращена")))&gt;1),"Дубль",""))</f>
        <v/>
      </c>
      <c r="I274" s="13">
        <f>IF(OR(B274="",COUNT(D274:E274)&lt;2,E274&lt;D274),"",IF(Настройки!$B$6=Настройки!$M$3,INT(E274)-INT(D274)+1,ROUNDUP(ROUND((E274-D274)*24,2)/24,0)))</f>
        <v/>
      </c>
      <c r="J274" s="14" t="n"/>
      <c r="K274" s="15">
        <f>IF(OR(I274="",J274=""),"",IF(F274="Отменена",0,ROUND(I274*J274,2)))</f>
        <v/>
      </c>
      <c r="L274" s="15">
        <f>IF(K274="","",ROUND(K274*Настройки!$B$5,2))</f>
        <v/>
      </c>
      <c r="M274" s="15">
        <f>IF(A274="","",SUMIFS(Начисления!$M$2:$M$1000,Начисления!$F$2:$F$1000,A274))</f>
        <v/>
      </c>
      <c r="N274" s="15">
        <f>IF(A274="","",SUM(K274:M274))</f>
        <v/>
      </c>
      <c r="O274" s="14" t="n"/>
      <c r="P274" s="15">
        <f>IF(A274="","",N274-O274)</f>
        <v/>
      </c>
      <c r="Q274" s="10" t="n"/>
      <c r="R274" s="10" t="n"/>
      <c r="S274" s="16">
        <f>IF(ISNUMBER(D274),D274+TIME(3,0,0),"")</f>
        <v/>
      </c>
      <c r="T274" s="10" t="n"/>
      <c r="U274" s="17">
        <f>IF(OR(B274="",COUNT(D274:E274)&lt;2,E274&lt;D274,F274="Отменена"),0,MAX(0,MIN(E274,Сводка!$B$4)-MAX(D274,Сводка!$B$2)))</f>
        <v/>
      </c>
    </row>
    <row r="275">
      <c r="A275" s="9" t="n"/>
      <c r="B275" s="10" t="n"/>
      <c r="C275" s="10" t="n"/>
      <c r="D275" s="11" t="n"/>
      <c r="E275" s="11" t="n"/>
      <c r="F275" s="10" t="n"/>
      <c r="G275" s="12">
        <f>IF(B275="","",IF(OR(COUNT(D275:E275)&lt;2,E275&lt;D275),"Проверьте даты",IF(OR(F275="Отменена",F275="Возвращена"),"",IF(SUMPRODUCT(($B$2:$B$500=B275)*($D$2:$D$500&lt;=E275)*($E$2:$E$500&gt;=D275)*($F$2:$F$500&lt;&gt;"Отменена")*($F$2:$F$500&lt;&gt;"Возвращена"))&gt;1,"Пересечение","ОК"))))</f>
        <v/>
      </c>
      <c r="H275" s="12">
        <f>IF(OR(B275="",D275=""),"",IF(AND(OR(F275="Выдана",F275="Возвращена"),SUMPRODUCT(($B$2:$B$500=B275)*($D$2:$D$500=D275)*(($F$2:$F$500="Выдана")+($F$2:$F$500="Возвращена")))&gt;1),"Дубль",""))</f>
        <v/>
      </c>
      <c r="I275" s="13">
        <f>IF(OR(B275="",COUNT(D275:E275)&lt;2,E275&lt;D275),"",IF(Настройки!$B$6=Настройки!$M$3,INT(E275)-INT(D275)+1,ROUNDUP(ROUND((E275-D275)*24,2)/24,0)))</f>
        <v/>
      </c>
      <c r="J275" s="14" t="n"/>
      <c r="K275" s="15">
        <f>IF(OR(I275="",J275=""),"",IF(F275="Отменена",0,ROUND(I275*J275,2)))</f>
        <v/>
      </c>
      <c r="L275" s="15">
        <f>IF(K275="","",ROUND(K275*Настройки!$B$5,2))</f>
        <v/>
      </c>
      <c r="M275" s="15">
        <f>IF(A275="","",SUMIFS(Начисления!$M$2:$M$1000,Начисления!$F$2:$F$1000,A275))</f>
        <v/>
      </c>
      <c r="N275" s="15">
        <f>IF(A275="","",SUM(K275:M275))</f>
        <v/>
      </c>
      <c r="O275" s="14" t="n"/>
      <c r="P275" s="15">
        <f>IF(A275="","",N275-O275)</f>
        <v/>
      </c>
      <c r="Q275" s="10" t="n"/>
      <c r="R275" s="10" t="n"/>
      <c r="S275" s="16">
        <f>IF(ISNUMBER(D275),D275+TIME(3,0,0),"")</f>
        <v/>
      </c>
      <c r="T275" s="10" t="n"/>
      <c r="U275" s="17">
        <f>IF(OR(B275="",COUNT(D275:E275)&lt;2,E275&lt;D275,F275="Отменена"),0,MAX(0,MIN(E275,Сводка!$B$4)-MAX(D275,Сводка!$B$2)))</f>
        <v/>
      </c>
    </row>
    <row r="276">
      <c r="A276" s="9" t="n"/>
      <c r="B276" s="10" t="n"/>
      <c r="C276" s="10" t="n"/>
      <c r="D276" s="11" t="n"/>
      <c r="E276" s="11" t="n"/>
      <c r="F276" s="10" t="n"/>
      <c r="G276" s="12">
        <f>IF(B276="","",IF(OR(COUNT(D276:E276)&lt;2,E276&lt;D276),"Проверьте даты",IF(OR(F276="Отменена",F276="Возвращена"),"",IF(SUMPRODUCT(($B$2:$B$500=B276)*($D$2:$D$500&lt;=E276)*($E$2:$E$500&gt;=D276)*($F$2:$F$500&lt;&gt;"Отменена")*($F$2:$F$500&lt;&gt;"Возвращена"))&gt;1,"Пересечение","ОК"))))</f>
        <v/>
      </c>
      <c r="H276" s="12">
        <f>IF(OR(B276="",D276=""),"",IF(AND(OR(F276="Выдана",F276="Возвращена"),SUMPRODUCT(($B$2:$B$500=B276)*($D$2:$D$500=D276)*(($F$2:$F$500="Выдана")+($F$2:$F$500="Возвращена")))&gt;1),"Дубль",""))</f>
        <v/>
      </c>
      <c r="I276" s="13">
        <f>IF(OR(B276="",COUNT(D276:E276)&lt;2,E276&lt;D276),"",IF(Настройки!$B$6=Настройки!$M$3,INT(E276)-INT(D276)+1,ROUNDUP(ROUND((E276-D276)*24,2)/24,0)))</f>
        <v/>
      </c>
      <c r="J276" s="14" t="n"/>
      <c r="K276" s="15">
        <f>IF(OR(I276="",J276=""),"",IF(F276="Отменена",0,ROUND(I276*J276,2)))</f>
        <v/>
      </c>
      <c r="L276" s="15">
        <f>IF(K276="","",ROUND(K276*Настройки!$B$5,2))</f>
        <v/>
      </c>
      <c r="M276" s="15">
        <f>IF(A276="","",SUMIFS(Начисления!$M$2:$M$1000,Начисления!$F$2:$F$1000,A276))</f>
        <v/>
      </c>
      <c r="N276" s="15">
        <f>IF(A276="","",SUM(K276:M276))</f>
        <v/>
      </c>
      <c r="O276" s="14" t="n"/>
      <c r="P276" s="15">
        <f>IF(A276="","",N276-O276)</f>
        <v/>
      </c>
      <c r="Q276" s="10" t="n"/>
      <c r="R276" s="10" t="n"/>
      <c r="S276" s="16">
        <f>IF(ISNUMBER(D276),D276+TIME(3,0,0),"")</f>
        <v/>
      </c>
      <c r="T276" s="10" t="n"/>
      <c r="U276" s="17">
        <f>IF(OR(B276="",COUNT(D276:E276)&lt;2,E276&lt;D276,F276="Отменена"),0,MAX(0,MIN(E276,Сводка!$B$4)-MAX(D276,Сводка!$B$2)))</f>
        <v/>
      </c>
    </row>
    <row r="277">
      <c r="A277" s="9" t="n"/>
      <c r="B277" s="10" t="n"/>
      <c r="C277" s="10" t="n"/>
      <c r="D277" s="11" t="n"/>
      <c r="E277" s="11" t="n"/>
      <c r="F277" s="10" t="n"/>
      <c r="G277" s="12">
        <f>IF(B277="","",IF(OR(COUNT(D277:E277)&lt;2,E277&lt;D277),"Проверьте даты",IF(OR(F277="Отменена",F277="Возвращена"),"",IF(SUMPRODUCT(($B$2:$B$500=B277)*($D$2:$D$500&lt;=E277)*($E$2:$E$500&gt;=D277)*($F$2:$F$500&lt;&gt;"Отменена")*($F$2:$F$500&lt;&gt;"Возвращена"))&gt;1,"Пересечение","ОК"))))</f>
        <v/>
      </c>
      <c r="H277" s="12">
        <f>IF(OR(B277="",D277=""),"",IF(AND(OR(F277="Выдана",F277="Возвращена"),SUMPRODUCT(($B$2:$B$500=B277)*($D$2:$D$500=D277)*(($F$2:$F$500="Выдана")+($F$2:$F$500="Возвращена")))&gt;1),"Дубль",""))</f>
        <v/>
      </c>
      <c r="I277" s="13">
        <f>IF(OR(B277="",COUNT(D277:E277)&lt;2,E277&lt;D277),"",IF(Настройки!$B$6=Настройки!$M$3,INT(E277)-INT(D277)+1,ROUNDUP(ROUND((E277-D277)*24,2)/24,0)))</f>
        <v/>
      </c>
      <c r="J277" s="14" t="n"/>
      <c r="K277" s="15">
        <f>IF(OR(I277="",J277=""),"",IF(F277="Отменена",0,ROUND(I277*J277,2)))</f>
        <v/>
      </c>
      <c r="L277" s="15">
        <f>IF(K277="","",ROUND(K277*Настройки!$B$5,2))</f>
        <v/>
      </c>
      <c r="M277" s="15">
        <f>IF(A277="","",SUMIFS(Начисления!$M$2:$M$1000,Начисления!$F$2:$F$1000,A277))</f>
        <v/>
      </c>
      <c r="N277" s="15">
        <f>IF(A277="","",SUM(K277:M277))</f>
        <v/>
      </c>
      <c r="O277" s="14" t="n"/>
      <c r="P277" s="15">
        <f>IF(A277="","",N277-O277)</f>
        <v/>
      </c>
      <c r="Q277" s="10" t="n"/>
      <c r="R277" s="10" t="n"/>
      <c r="S277" s="16">
        <f>IF(ISNUMBER(D277),D277+TIME(3,0,0),"")</f>
        <v/>
      </c>
      <c r="T277" s="10" t="n"/>
      <c r="U277" s="17">
        <f>IF(OR(B277="",COUNT(D277:E277)&lt;2,E277&lt;D277,F277="Отменена"),0,MAX(0,MIN(E277,Сводка!$B$4)-MAX(D277,Сводка!$B$2)))</f>
        <v/>
      </c>
    </row>
    <row r="278">
      <c r="A278" s="9" t="n"/>
      <c r="B278" s="10" t="n"/>
      <c r="C278" s="10" t="n"/>
      <c r="D278" s="11" t="n"/>
      <c r="E278" s="11" t="n"/>
      <c r="F278" s="10" t="n"/>
      <c r="G278" s="12">
        <f>IF(B278="","",IF(OR(COUNT(D278:E278)&lt;2,E278&lt;D278),"Проверьте даты",IF(OR(F278="Отменена",F278="Возвращена"),"",IF(SUMPRODUCT(($B$2:$B$500=B278)*($D$2:$D$500&lt;=E278)*($E$2:$E$500&gt;=D278)*($F$2:$F$500&lt;&gt;"Отменена")*($F$2:$F$500&lt;&gt;"Возвращена"))&gt;1,"Пересечение","ОК"))))</f>
        <v/>
      </c>
      <c r="H278" s="12">
        <f>IF(OR(B278="",D278=""),"",IF(AND(OR(F278="Выдана",F278="Возвращена"),SUMPRODUCT(($B$2:$B$500=B278)*($D$2:$D$500=D278)*(($F$2:$F$500="Выдана")+($F$2:$F$500="Возвращена")))&gt;1),"Дубль",""))</f>
        <v/>
      </c>
      <c r="I278" s="13">
        <f>IF(OR(B278="",COUNT(D278:E278)&lt;2,E278&lt;D278),"",IF(Настройки!$B$6=Настройки!$M$3,INT(E278)-INT(D278)+1,ROUNDUP(ROUND((E278-D278)*24,2)/24,0)))</f>
        <v/>
      </c>
      <c r="J278" s="14" t="n"/>
      <c r="K278" s="15">
        <f>IF(OR(I278="",J278=""),"",IF(F278="Отменена",0,ROUND(I278*J278,2)))</f>
        <v/>
      </c>
      <c r="L278" s="15">
        <f>IF(K278="","",ROUND(K278*Настройки!$B$5,2))</f>
        <v/>
      </c>
      <c r="M278" s="15">
        <f>IF(A278="","",SUMIFS(Начисления!$M$2:$M$1000,Начисления!$F$2:$F$1000,A278))</f>
        <v/>
      </c>
      <c r="N278" s="15">
        <f>IF(A278="","",SUM(K278:M278))</f>
        <v/>
      </c>
      <c r="O278" s="14" t="n"/>
      <c r="P278" s="15">
        <f>IF(A278="","",N278-O278)</f>
        <v/>
      </c>
      <c r="Q278" s="10" t="n"/>
      <c r="R278" s="10" t="n"/>
      <c r="S278" s="16">
        <f>IF(ISNUMBER(D278),D278+TIME(3,0,0),"")</f>
        <v/>
      </c>
      <c r="T278" s="10" t="n"/>
      <c r="U278" s="17">
        <f>IF(OR(B278="",COUNT(D278:E278)&lt;2,E278&lt;D278,F278="Отменена"),0,MAX(0,MIN(E278,Сводка!$B$4)-MAX(D278,Сводка!$B$2)))</f>
        <v/>
      </c>
    </row>
    <row r="279">
      <c r="A279" s="9" t="n"/>
      <c r="B279" s="10" t="n"/>
      <c r="C279" s="10" t="n"/>
      <c r="D279" s="11" t="n"/>
      <c r="E279" s="11" t="n"/>
      <c r="F279" s="10" t="n"/>
      <c r="G279" s="12">
        <f>IF(B279="","",IF(OR(COUNT(D279:E279)&lt;2,E279&lt;D279),"Проверьте даты",IF(OR(F279="Отменена",F279="Возвращена"),"",IF(SUMPRODUCT(($B$2:$B$500=B279)*($D$2:$D$500&lt;=E279)*($E$2:$E$500&gt;=D279)*($F$2:$F$500&lt;&gt;"Отменена")*($F$2:$F$500&lt;&gt;"Возвращена"))&gt;1,"Пересечение","ОК"))))</f>
        <v/>
      </c>
      <c r="H279" s="12">
        <f>IF(OR(B279="",D279=""),"",IF(AND(OR(F279="Выдана",F279="Возвращена"),SUMPRODUCT(($B$2:$B$500=B279)*($D$2:$D$500=D279)*(($F$2:$F$500="Выдана")+($F$2:$F$500="Возвращена")))&gt;1),"Дубль",""))</f>
        <v/>
      </c>
      <c r="I279" s="13">
        <f>IF(OR(B279="",COUNT(D279:E279)&lt;2,E279&lt;D279),"",IF(Настройки!$B$6=Настройки!$M$3,INT(E279)-INT(D279)+1,ROUNDUP(ROUND((E279-D279)*24,2)/24,0)))</f>
        <v/>
      </c>
      <c r="J279" s="14" t="n"/>
      <c r="K279" s="15">
        <f>IF(OR(I279="",J279=""),"",IF(F279="Отменена",0,ROUND(I279*J279,2)))</f>
        <v/>
      </c>
      <c r="L279" s="15">
        <f>IF(K279="","",ROUND(K279*Настройки!$B$5,2))</f>
        <v/>
      </c>
      <c r="M279" s="15">
        <f>IF(A279="","",SUMIFS(Начисления!$M$2:$M$1000,Начисления!$F$2:$F$1000,A279))</f>
        <v/>
      </c>
      <c r="N279" s="15">
        <f>IF(A279="","",SUM(K279:M279))</f>
        <v/>
      </c>
      <c r="O279" s="14" t="n"/>
      <c r="P279" s="15">
        <f>IF(A279="","",N279-O279)</f>
        <v/>
      </c>
      <c r="Q279" s="10" t="n"/>
      <c r="R279" s="10" t="n"/>
      <c r="S279" s="16">
        <f>IF(ISNUMBER(D279),D279+TIME(3,0,0),"")</f>
        <v/>
      </c>
      <c r="T279" s="10" t="n"/>
      <c r="U279" s="17">
        <f>IF(OR(B279="",COUNT(D279:E279)&lt;2,E279&lt;D279,F279="Отменена"),0,MAX(0,MIN(E279,Сводка!$B$4)-MAX(D279,Сводка!$B$2)))</f>
        <v/>
      </c>
    </row>
    <row r="280">
      <c r="A280" s="9" t="n"/>
      <c r="B280" s="10" t="n"/>
      <c r="C280" s="10" t="n"/>
      <c r="D280" s="11" t="n"/>
      <c r="E280" s="11" t="n"/>
      <c r="F280" s="10" t="n"/>
      <c r="G280" s="12">
        <f>IF(B280="","",IF(OR(COUNT(D280:E280)&lt;2,E280&lt;D280),"Проверьте даты",IF(OR(F280="Отменена",F280="Возвращена"),"",IF(SUMPRODUCT(($B$2:$B$500=B280)*($D$2:$D$500&lt;=E280)*($E$2:$E$500&gt;=D280)*($F$2:$F$500&lt;&gt;"Отменена")*($F$2:$F$500&lt;&gt;"Возвращена"))&gt;1,"Пересечение","ОК"))))</f>
        <v/>
      </c>
      <c r="H280" s="12">
        <f>IF(OR(B280="",D280=""),"",IF(AND(OR(F280="Выдана",F280="Возвращена"),SUMPRODUCT(($B$2:$B$500=B280)*($D$2:$D$500=D280)*(($F$2:$F$500="Выдана")+($F$2:$F$500="Возвращена")))&gt;1),"Дубль",""))</f>
        <v/>
      </c>
      <c r="I280" s="13">
        <f>IF(OR(B280="",COUNT(D280:E280)&lt;2,E280&lt;D280),"",IF(Настройки!$B$6=Настройки!$M$3,INT(E280)-INT(D280)+1,ROUNDUP(ROUND((E280-D280)*24,2)/24,0)))</f>
        <v/>
      </c>
      <c r="J280" s="14" t="n"/>
      <c r="K280" s="15">
        <f>IF(OR(I280="",J280=""),"",IF(F280="Отменена",0,ROUND(I280*J280,2)))</f>
        <v/>
      </c>
      <c r="L280" s="15">
        <f>IF(K280="","",ROUND(K280*Настройки!$B$5,2))</f>
        <v/>
      </c>
      <c r="M280" s="15">
        <f>IF(A280="","",SUMIFS(Начисления!$M$2:$M$1000,Начисления!$F$2:$F$1000,A280))</f>
        <v/>
      </c>
      <c r="N280" s="15">
        <f>IF(A280="","",SUM(K280:M280))</f>
        <v/>
      </c>
      <c r="O280" s="14" t="n"/>
      <c r="P280" s="15">
        <f>IF(A280="","",N280-O280)</f>
        <v/>
      </c>
      <c r="Q280" s="10" t="n"/>
      <c r="R280" s="10" t="n"/>
      <c r="S280" s="16">
        <f>IF(ISNUMBER(D280),D280+TIME(3,0,0),"")</f>
        <v/>
      </c>
      <c r="T280" s="10" t="n"/>
      <c r="U280" s="17">
        <f>IF(OR(B280="",COUNT(D280:E280)&lt;2,E280&lt;D280,F280="Отменена"),0,MAX(0,MIN(E280,Сводка!$B$4)-MAX(D280,Сводка!$B$2)))</f>
        <v/>
      </c>
    </row>
    <row r="281">
      <c r="A281" s="9" t="n"/>
      <c r="B281" s="10" t="n"/>
      <c r="C281" s="10" t="n"/>
      <c r="D281" s="11" t="n"/>
      <c r="E281" s="11" t="n"/>
      <c r="F281" s="10" t="n"/>
      <c r="G281" s="12">
        <f>IF(B281="","",IF(OR(COUNT(D281:E281)&lt;2,E281&lt;D281),"Проверьте даты",IF(OR(F281="Отменена",F281="Возвращена"),"",IF(SUMPRODUCT(($B$2:$B$500=B281)*($D$2:$D$500&lt;=E281)*($E$2:$E$500&gt;=D281)*($F$2:$F$500&lt;&gt;"Отменена")*($F$2:$F$500&lt;&gt;"Возвращена"))&gt;1,"Пересечение","ОК"))))</f>
        <v/>
      </c>
      <c r="H281" s="12">
        <f>IF(OR(B281="",D281=""),"",IF(AND(OR(F281="Выдана",F281="Возвращена"),SUMPRODUCT(($B$2:$B$500=B281)*($D$2:$D$500=D281)*(($F$2:$F$500="Выдана")+($F$2:$F$500="Возвращена")))&gt;1),"Дубль",""))</f>
        <v/>
      </c>
      <c r="I281" s="13">
        <f>IF(OR(B281="",COUNT(D281:E281)&lt;2,E281&lt;D281),"",IF(Настройки!$B$6=Настройки!$M$3,INT(E281)-INT(D281)+1,ROUNDUP(ROUND((E281-D281)*24,2)/24,0)))</f>
        <v/>
      </c>
      <c r="J281" s="14" t="n"/>
      <c r="K281" s="15">
        <f>IF(OR(I281="",J281=""),"",IF(F281="Отменена",0,ROUND(I281*J281,2)))</f>
        <v/>
      </c>
      <c r="L281" s="15">
        <f>IF(K281="","",ROUND(K281*Настройки!$B$5,2))</f>
        <v/>
      </c>
      <c r="M281" s="15">
        <f>IF(A281="","",SUMIFS(Начисления!$M$2:$M$1000,Начисления!$F$2:$F$1000,A281))</f>
        <v/>
      </c>
      <c r="N281" s="15">
        <f>IF(A281="","",SUM(K281:M281))</f>
        <v/>
      </c>
      <c r="O281" s="14" t="n"/>
      <c r="P281" s="15">
        <f>IF(A281="","",N281-O281)</f>
        <v/>
      </c>
      <c r="Q281" s="10" t="n"/>
      <c r="R281" s="10" t="n"/>
      <c r="S281" s="16">
        <f>IF(ISNUMBER(D281),D281+TIME(3,0,0),"")</f>
        <v/>
      </c>
      <c r="T281" s="10" t="n"/>
      <c r="U281" s="17">
        <f>IF(OR(B281="",COUNT(D281:E281)&lt;2,E281&lt;D281,F281="Отменена"),0,MAX(0,MIN(E281,Сводка!$B$4)-MAX(D281,Сводка!$B$2)))</f>
        <v/>
      </c>
    </row>
    <row r="282">
      <c r="A282" s="9" t="n"/>
      <c r="B282" s="10" t="n"/>
      <c r="C282" s="10" t="n"/>
      <c r="D282" s="11" t="n"/>
      <c r="E282" s="11" t="n"/>
      <c r="F282" s="10" t="n"/>
      <c r="G282" s="12">
        <f>IF(B282="","",IF(OR(COUNT(D282:E282)&lt;2,E282&lt;D282),"Проверьте даты",IF(OR(F282="Отменена",F282="Возвращена"),"",IF(SUMPRODUCT(($B$2:$B$500=B282)*($D$2:$D$500&lt;=E282)*($E$2:$E$500&gt;=D282)*($F$2:$F$500&lt;&gt;"Отменена")*($F$2:$F$500&lt;&gt;"Возвращена"))&gt;1,"Пересечение","ОК"))))</f>
        <v/>
      </c>
      <c r="H282" s="12">
        <f>IF(OR(B282="",D282=""),"",IF(AND(OR(F282="Выдана",F282="Возвращена"),SUMPRODUCT(($B$2:$B$500=B282)*($D$2:$D$500=D282)*(($F$2:$F$500="Выдана")+($F$2:$F$500="Возвращена")))&gt;1),"Дубль",""))</f>
        <v/>
      </c>
      <c r="I282" s="13">
        <f>IF(OR(B282="",COUNT(D282:E282)&lt;2,E282&lt;D282),"",IF(Настройки!$B$6=Настройки!$M$3,INT(E282)-INT(D282)+1,ROUNDUP(ROUND((E282-D282)*24,2)/24,0)))</f>
        <v/>
      </c>
      <c r="J282" s="14" t="n"/>
      <c r="K282" s="15">
        <f>IF(OR(I282="",J282=""),"",IF(F282="Отменена",0,ROUND(I282*J282,2)))</f>
        <v/>
      </c>
      <c r="L282" s="15">
        <f>IF(K282="","",ROUND(K282*Настройки!$B$5,2))</f>
        <v/>
      </c>
      <c r="M282" s="15">
        <f>IF(A282="","",SUMIFS(Начисления!$M$2:$M$1000,Начисления!$F$2:$F$1000,A282))</f>
        <v/>
      </c>
      <c r="N282" s="15">
        <f>IF(A282="","",SUM(K282:M282))</f>
        <v/>
      </c>
      <c r="O282" s="14" t="n"/>
      <c r="P282" s="15">
        <f>IF(A282="","",N282-O282)</f>
        <v/>
      </c>
      <c r="Q282" s="10" t="n"/>
      <c r="R282" s="10" t="n"/>
      <c r="S282" s="16">
        <f>IF(ISNUMBER(D282),D282+TIME(3,0,0),"")</f>
        <v/>
      </c>
      <c r="T282" s="10" t="n"/>
      <c r="U282" s="17">
        <f>IF(OR(B282="",COUNT(D282:E282)&lt;2,E282&lt;D282,F282="Отменена"),0,MAX(0,MIN(E282,Сводка!$B$4)-MAX(D282,Сводка!$B$2)))</f>
        <v/>
      </c>
    </row>
    <row r="283">
      <c r="A283" s="9" t="n"/>
      <c r="B283" s="10" t="n"/>
      <c r="C283" s="10" t="n"/>
      <c r="D283" s="11" t="n"/>
      <c r="E283" s="11" t="n"/>
      <c r="F283" s="10" t="n"/>
      <c r="G283" s="12">
        <f>IF(B283="","",IF(OR(COUNT(D283:E283)&lt;2,E283&lt;D283),"Проверьте даты",IF(OR(F283="Отменена",F283="Возвращена"),"",IF(SUMPRODUCT(($B$2:$B$500=B283)*($D$2:$D$500&lt;=E283)*($E$2:$E$500&gt;=D283)*($F$2:$F$500&lt;&gt;"Отменена")*($F$2:$F$500&lt;&gt;"Возвращена"))&gt;1,"Пересечение","ОК"))))</f>
        <v/>
      </c>
      <c r="H283" s="12">
        <f>IF(OR(B283="",D283=""),"",IF(AND(OR(F283="Выдана",F283="Возвращена"),SUMPRODUCT(($B$2:$B$500=B283)*($D$2:$D$500=D283)*(($F$2:$F$500="Выдана")+($F$2:$F$500="Возвращена")))&gt;1),"Дубль",""))</f>
        <v/>
      </c>
      <c r="I283" s="13">
        <f>IF(OR(B283="",COUNT(D283:E283)&lt;2,E283&lt;D283),"",IF(Настройки!$B$6=Настройки!$M$3,INT(E283)-INT(D283)+1,ROUNDUP(ROUND((E283-D283)*24,2)/24,0)))</f>
        <v/>
      </c>
      <c r="J283" s="14" t="n"/>
      <c r="K283" s="15">
        <f>IF(OR(I283="",J283=""),"",IF(F283="Отменена",0,ROUND(I283*J283,2)))</f>
        <v/>
      </c>
      <c r="L283" s="15">
        <f>IF(K283="","",ROUND(K283*Настройки!$B$5,2))</f>
        <v/>
      </c>
      <c r="M283" s="15">
        <f>IF(A283="","",SUMIFS(Начисления!$M$2:$M$1000,Начисления!$F$2:$F$1000,A283))</f>
        <v/>
      </c>
      <c r="N283" s="15">
        <f>IF(A283="","",SUM(K283:M283))</f>
        <v/>
      </c>
      <c r="O283" s="14" t="n"/>
      <c r="P283" s="15">
        <f>IF(A283="","",N283-O283)</f>
        <v/>
      </c>
      <c r="Q283" s="10" t="n"/>
      <c r="R283" s="10" t="n"/>
      <c r="S283" s="16">
        <f>IF(ISNUMBER(D283),D283+TIME(3,0,0),"")</f>
        <v/>
      </c>
      <c r="T283" s="10" t="n"/>
      <c r="U283" s="17">
        <f>IF(OR(B283="",COUNT(D283:E283)&lt;2,E283&lt;D283,F283="Отменена"),0,MAX(0,MIN(E283,Сводка!$B$4)-MAX(D283,Сводка!$B$2)))</f>
        <v/>
      </c>
    </row>
    <row r="284">
      <c r="A284" s="9" t="n"/>
      <c r="B284" s="10" t="n"/>
      <c r="C284" s="10" t="n"/>
      <c r="D284" s="11" t="n"/>
      <c r="E284" s="11" t="n"/>
      <c r="F284" s="10" t="n"/>
      <c r="G284" s="12">
        <f>IF(B284="","",IF(OR(COUNT(D284:E284)&lt;2,E284&lt;D284),"Проверьте даты",IF(OR(F284="Отменена",F284="Возвращена"),"",IF(SUMPRODUCT(($B$2:$B$500=B284)*($D$2:$D$500&lt;=E284)*($E$2:$E$500&gt;=D284)*($F$2:$F$500&lt;&gt;"Отменена")*($F$2:$F$500&lt;&gt;"Возвращена"))&gt;1,"Пересечение","ОК"))))</f>
        <v/>
      </c>
      <c r="H284" s="12">
        <f>IF(OR(B284="",D284=""),"",IF(AND(OR(F284="Выдана",F284="Возвращена"),SUMPRODUCT(($B$2:$B$500=B284)*($D$2:$D$500=D284)*(($F$2:$F$500="Выдана")+($F$2:$F$500="Возвращена")))&gt;1),"Дубль",""))</f>
        <v/>
      </c>
      <c r="I284" s="13">
        <f>IF(OR(B284="",COUNT(D284:E284)&lt;2,E284&lt;D284),"",IF(Настройки!$B$6=Настройки!$M$3,INT(E284)-INT(D284)+1,ROUNDUP(ROUND((E284-D284)*24,2)/24,0)))</f>
        <v/>
      </c>
      <c r="J284" s="14" t="n"/>
      <c r="K284" s="15">
        <f>IF(OR(I284="",J284=""),"",IF(F284="Отменена",0,ROUND(I284*J284,2)))</f>
        <v/>
      </c>
      <c r="L284" s="15">
        <f>IF(K284="","",ROUND(K284*Настройки!$B$5,2))</f>
        <v/>
      </c>
      <c r="M284" s="15">
        <f>IF(A284="","",SUMIFS(Начисления!$M$2:$M$1000,Начисления!$F$2:$F$1000,A284))</f>
        <v/>
      </c>
      <c r="N284" s="15">
        <f>IF(A284="","",SUM(K284:M284))</f>
        <v/>
      </c>
      <c r="O284" s="14" t="n"/>
      <c r="P284" s="15">
        <f>IF(A284="","",N284-O284)</f>
        <v/>
      </c>
      <c r="Q284" s="10" t="n"/>
      <c r="R284" s="10" t="n"/>
      <c r="S284" s="16">
        <f>IF(ISNUMBER(D284),D284+TIME(3,0,0),"")</f>
        <v/>
      </c>
      <c r="T284" s="10" t="n"/>
      <c r="U284" s="17">
        <f>IF(OR(B284="",COUNT(D284:E284)&lt;2,E284&lt;D284,F284="Отменена"),0,MAX(0,MIN(E284,Сводка!$B$4)-MAX(D284,Сводка!$B$2)))</f>
        <v/>
      </c>
    </row>
    <row r="285">
      <c r="A285" s="9" t="n"/>
      <c r="B285" s="10" t="n"/>
      <c r="C285" s="10" t="n"/>
      <c r="D285" s="11" t="n"/>
      <c r="E285" s="11" t="n"/>
      <c r="F285" s="10" t="n"/>
      <c r="G285" s="12">
        <f>IF(B285="","",IF(OR(COUNT(D285:E285)&lt;2,E285&lt;D285),"Проверьте даты",IF(OR(F285="Отменена",F285="Возвращена"),"",IF(SUMPRODUCT(($B$2:$B$500=B285)*($D$2:$D$500&lt;=E285)*($E$2:$E$500&gt;=D285)*($F$2:$F$500&lt;&gt;"Отменена")*($F$2:$F$500&lt;&gt;"Возвращена"))&gt;1,"Пересечение","ОК"))))</f>
        <v/>
      </c>
      <c r="H285" s="12">
        <f>IF(OR(B285="",D285=""),"",IF(AND(OR(F285="Выдана",F285="Возвращена"),SUMPRODUCT(($B$2:$B$500=B285)*($D$2:$D$500=D285)*(($F$2:$F$500="Выдана")+($F$2:$F$500="Возвращена")))&gt;1),"Дубль",""))</f>
        <v/>
      </c>
      <c r="I285" s="13">
        <f>IF(OR(B285="",COUNT(D285:E285)&lt;2,E285&lt;D285),"",IF(Настройки!$B$6=Настройки!$M$3,INT(E285)-INT(D285)+1,ROUNDUP(ROUND((E285-D285)*24,2)/24,0)))</f>
        <v/>
      </c>
      <c r="J285" s="14" t="n"/>
      <c r="K285" s="15">
        <f>IF(OR(I285="",J285=""),"",IF(F285="Отменена",0,ROUND(I285*J285,2)))</f>
        <v/>
      </c>
      <c r="L285" s="15">
        <f>IF(K285="","",ROUND(K285*Настройки!$B$5,2))</f>
        <v/>
      </c>
      <c r="M285" s="15">
        <f>IF(A285="","",SUMIFS(Начисления!$M$2:$M$1000,Начисления!$F$2:$F$1000,A285))</f>
        <v/>
      </c>
      <c r="N285" s="15">
        <f>IF(A285="","",SUM(K285:M285))</f>
        <v/>
      </c>
      <c r="O285" s="14" t="n"/>
      <c r="P285" s="15">
        <f>IF(A285="","",N285-O285)</f>
        <v/>
      </c>
      <c r="Q285" s="10" t="n"/>
      <c r="R285" s="10" t="n"/>
      <c r="S285" s="16">
        <f>IF(ISNUMBER(D285),D285+TIME(3,0,0),"")</f>
        <v/>
      </c>
      <c r="T285" s="10" t="n"/>
      <c r="U285" s="17">
        <f>IF(OR(B285="",COUNT(D285:E285)&lt;2,E285&lt;D285,F285="Отменена"),0,MAX(0,MIN(E285,Сводка!$B$4)-MAX(D285,Сводка!$B$2)))</f>
        <v/>
      </c>
    </row>
    <row r="286">
      <c r="A286" s="9" t="n"/>
      <c r="B286" s="10" t="n"/>
      <c r="C286" s="10" t="n"/>
      <c r="D286" s="11" t="n"/>
      <c r="E286" s="11" t="n"/>
      <c r="F286" s="10" t="n"/>
      <c r="G286" s="12">
        <f>IF(B286="","",IF(OR(COUNT(D286:E286)&lt;2,E286&lt;D286),"Проверьте даты",IF(OR(F286="Отменена",F286="Возвращена"),"",IF(SUMPRODUCT(($B$2:$B$500=B286)*($D$2:$D$500&lt;=E286)*($E$2:$E$500&gt;=D286)*($F$2:$F$500&lt;&gt;"Отменена")*($F$2:$F$500&lt;&gt;"Возвращена"))&gt;1,"Пересечение","ОК"))))</f>
        <v/>
      </c>
      <c r="H286" s="12">
        <f>IF(OR(B286="",D286=""),"",IF(AND(OR(F286="Выдана",F286="Возвращена"),SUMPRODUCT(($B$2:$B$500=B286)*($D$2:$D$500=D286)*(($F$2:$F$500="Выдана")+($F$2:$F$500="Возвращена")))&gt;1),"Дубль",""))</f>
        <v/>
      </c>
      <c r="I286" s="13">
        <f>IF(OR(B286="",COUNT(D286:E286)&lt;2,E286&lt;D286),"",IF(Настройки!$B$6=Настройки!$M$3,INT(E286)-INT(D286)+1,ROUNDUP(ROUND((E286-D286)*24,2)/24,0)))</f>
        <v/>
      </c>
      <c r="J286" s="14" t="n"/>
      <c r="K286" s="15">
        <f>IF(OR(I286="",J286=""),"",IF(F286="Отменена",0,ROUND(I286*J286,2)))</f>
        <v/>
      </c>
      <c r="L286" s="15">
        <f>IF(K286="","",ROUND(K286*Настройки!$B$5,2))</f>
        <v/>
      </c>
      <c r="M286" s="15">
        <f>IF(A286="","",SUMIFS(Начисления!$M$2:$M$1000,Начисления!$F$2:$F$1000,A286))</f>
        <v/>
      </c>
      <c r="N286" s="15">
        <f>IF(A286="","",SUM(K286:M286))</f>
        <v/>
      </c>
      <c r="O286" s="14" t="n"/>
      <c r="P286" s="15">
        <f>IF(A286="","",N286-O286)</f>
        <v/>
      </c>
      <c r="Q286" s="10" t="n"/>
      <c r="R286" s="10" t="n"/>
      <c r="S286" s="16">
        <f>IF(ISNUMBER(D286),D286+TIME(3,0,0),"")</f>
        <v/>
      </c>
      <c r="T286" s="10" t="n"/>
      <c r="U286" s="17">
        <f>IF(OR(B286="",COUNT(D286:E286)&lt;2,E286&lt;D286,F286="Отменена"),0,MAX(0,MIN(E286,Сводка!$B$4)-MAX(D286,Сводка!$B$2)))</f>
        <v/>
      </c>
    </row>
    <row r="287">
      <c r="A287" s="9" t="n"/>
      <c r="B287" s="10" t="n"/>
      <c r="C287" s="10" t="n"/>
      <c r="D287" s="11" t="n"/>
      <c r="E287" s="11" t="n"/>
      <c r="F287" s="10" t="n"/>
      <c r="G287" s="12">
        <f>IF(B287="","",IF(OR(COUNT(D287:E287)&lt;2,E287&lt;D287),"Проверьте даты",IF(OR(F287="Отменена",F287="Возвращена"),"",IF(SUMPRODUCT(($B$2:$B$500=B287)*($D$2:$D$500&lt;=E287)*($E$2:$E$500&gt;=D287)*($F$2:$F$500&lt;&gt;"Отменена")*($F$2:$F$500&lt;&gt;"Возвращена"))&gt;1,"Пересечение","ОК"))))</f>
        <v/>
      </c>
      <c r="H287" s="12">
        <f>IF(OR(B287="",D287=""),"",IF(AND(OR(F287="Выдана",F287="Возвращена"),SUMPRODUCT(($B$2:$B$500=B287)*($D$2:$D$500=D287)*(($F$2:$F$500="Выдана")+($F$2:$F$500="Возвращена")))&gt;1),"Дубль",""))</f>
        <v/>
      </c>
      <c r="I287" s="13">
        <f>IF(OR(B287="",COUNT(D287:E287)&lt;2,E287&lt;D287),"",IF(Настройки!$B$6=Настройки!$M$3,INT(E287)-INT(D287)+1,ROUNDUP(ROUND((E287-D287)*24,2)/24,0)))</f>
        <v/>
      </c>
      <c r="J287" s="14" t="n"/>
      <c r="K287" s="15">
        <f>IF(OR(I287="",J287=""),"",IF(F287="Отменена",0,ROUND(I287*J287,2)))</f>
        <v/>
      </c>
      <c r="L287" s="15">
        <f>IF(K287="","",ROUND(K287*Настройки!$B$5,2))</f>
        <v/>
      </c>
      <c r="M287" s="15">
        <f>IF(A287="","",SUMIFS(Начисления!$M$2:$M$1000,Начисления!$F$2:$F$1000,A287))</f>
        <v/>
      </c>
      <c r="N287" s="15">
        <f>IF(A287="","",SUM(K287:M287))</f>
        <v/>
      </c>
      <c r="O287" s="14" t="n"/>
      <c r="P287" s="15">
        <f>IF(A287="","",N287-O287)</f>
        <v/>
      </c>
      <c r="Q287" s="10" t="n"/>
      <c r="R287" s="10" t="n"/>
      <c r="S287" s="16">
        <f>IF(ISNUMBER(D287),D287+TIME(3,0,0),"")</f>
        <v/>
      </c>
      <c r="T287" s="10" t="n"/>
      <c r="U287" s="17">
        <f>IF(OR(B287="",COUNT(D287:E287)&lt;2,E287&lt;D287,F287="Отменена"),0,MAX(0,MIN(E287,Сводка!$B$4)-MAX(D287,Сводка!$B$2)))</f>
        <v/>
      </c>
    </row>
    <row r="288">
      <c r="A288" s="9" t="n"/>
      <c r="B288" s="10" t="n"/>
      <c r="C288" s="10" t="n"/>
      <c r="D288" s="11" t="n"/>
      <c r="E288" s="11" t="n"/>
      <c r="F288" s="10" t="n"/>
      <c r="G288" s="12">
        <f>IF(B288="","",IF(OR(COUNT(D288:E288)&lt;2,E288&lt;D288),"Проверьте даты",IF(OR(F288="Отменена",F288="Возвращена"),"",IF(SUMPRODUCT(($B$2:$B$500=B288)*($D$2:$D$500&lt;=E288)*($E$2:$E$500&gt;=D288)*($F$2:$F$500&lt;&gt;"Отменена")*($F$2:$F$500&lt;&gt;"Возвращена"))&gt;1,"Пересечение","ОК"))))</f>
        <v/>
      </c>
      <c r="H288" s="12">
        <f>IF(OR(B288="",D288=""),"",IF(AND(OR(F288="Выдана",F288="Возвращена"),SUMPRODUCT(($B$2:$B$500=B288)*($D$2:$D$500=D288)*(($F$2:$F$500="Выдана")+($F$2:$F$500="Возвращена")))&gt;1),"Дубль",""))</f>
        <v/>
      </c>
      <c r="I288" s="13">
        <f>IF(OR(B288="",COUNT(D288:E288)&lt;2,E288&lt;D288),"",IF(Настройки!$B$6=Настройки!$M$3,INT(E288)-INT(D288)+1,ROUNDUP(ROUND((E288-D288)*24,2)/24,0)))</f>
        <v/>
      </c>
      <c r="J288" s="14" t="n"/>
      <c r="K288" s="15">
        <f>IF(OR(I288="",J288=""),"",IF(F288="Отменена",0,ROUND(I288*J288,2)))</f>
        <v/>
      </c>
      <c r="L288" s="15">
        <f>IF(K288="","",ROUND(K288*Настройки!$B$5,2))</f>
        <v/>
      </c>
      <c r="M288" s="15">
        <f>IF(A288="","",SUMIFS(Начисления!$M$2:$M$1000,Начисления!$F$2:$F$1000,A288))</f>
        <v/>
      </c>
      <c r="N288" s="15">
        <f>IF(A288="","",SUM(K288:M288))</f>
        <v/>
      </c>
      <c r="O288" s="14" t="n"/>
      <c r="P288" s="15">
        <f>IF(A288="","",N288-O288)</f>
        <v/>
      </c>
      <c r="Q288" s="10" t="n"/>
      <c r="R288" s="10" t="n"/>
      <c r="S288" s="16">
        <f>IF(ISNUMBER(D288),D288+TIME(3,0,0),"")</f>
        <v/>
      </c>
      <c r="T288" s="10" t="n"/>
      <c r="U288" s="17">
        <f>IF(OR(B288="",COUNT(D288:E288)&lt;2,E288&lt;D288,F288="Отменена"),0,MAX(0,MIN(E288,Сводка!$B$4)-MAX(D288,Сводка!$B$2)))</f>
        <v/>
      </c>
    </row>
    <row r="289">
      <c r="A289" s="9" t="n"/>
      <c r="B289" s="10" t="n"/>
      <c r="C289" s="10" t="n"/>
      <c r="D289" s="11" t="n"/>
      <c r="E289" s="11" t="n"/>
      <c r="F289" s="10" t="n"/>
      <c r="G289" s="12">
        <f>IF(B289="","",IF(OR(COUNT(D289:E289)&lt;2,E289&lt;D289),"Проверьте даты",IF(OR(F289="Отменена",F289="Возвращена"),"",IF(SUMPRODUCT(($B$2:$B$500=B289)*($D$2:$D$500&lt;=E289)*($E$2:$E$500&gt;=D289)*($F$2:$F$500&lt;&gt;"Отменена")*($F$2:$F$500&lt;&gt;"Возвращена"))&gt;1,"Пересечение","ОК"))))</f>
        <v/>
      </c>
      <c r="H289" s="12">
        <f>IF(OR(B289="",D289=""),"",IF(AND(OR(F289="Выдана",F289="Возвращена"),SUMPRODUCT(($B$2:$B$500=B289)*($D$2:$D$500=D289)*(($F$2:$F$500="Выдана")+($F$2:$F$500="Возвращена")))&gt;1),"Дубль",""))</f>
        <v/>
      </c>
      <c r="I289" s="13">
        <f>IF(OR(B289="",COUNT(D289:E289)&lt;2,E289&lt;D289),"",IF(Настройки!$B$6=Настройки!$M$3,INT(E289)-INT(D289)+1,ROUNDUP(ROUND((E289-D289)*24,2)/24,0)))</f>
        <v/>
      </c>
      <c r="J289" s="14" t="n"/>
      <c r="K289" s="15">
        <f>IF(OR(I289="",J289=""),"",IF(F289="Отменена",0,ROUND(I289*J289,2)))</f>
        <v/>
      </c>
      <c r="L289" s="15">
        <f>IF(K289="","",ROUND(K289*Настройки!$B$5,2))</f>
        <v/>
      </c>
      <c r="M289" s="15">
        <f>IF(A289="","",SUMIFS(Начисления!$M$2:$M$1000,Начисления!$F$2:$F$1000,A289))</f>
        <v/>
      </c>
      <c r="N289" s="15">
        <f>IF(A289="","",SUM(K289:M289))</f>
        <v/>
      </c>
      <c r="O289" s="14" t="n"/>
      <c r="P289" s="15">
        <f>IF(A289="","",N289-O289)</f>
        <v/>
      </c>
      <c r="Q289" s="10" t="n"/>
      <c r="R289" s="10" t="n"/>
      <c r="S289" s="16">
        <f>IF(ISNUMBER(D289),D289+TIME(3,0,0),"")</f>
        <v/>
      </c>
      <c r="T289" s="10" t="n"/>
      <c r="U289" s="17">
        <f>IF(OR(B289="",COUNT(D289:E289)&lt;2,E289&lt;D289,F289="Отменена"),0,MAX(0,MIN(E289,Сводка!$B$4)-MAX(D289,Сводка!$B$2)))</f>
        <v/>
      </c>
    </row>
    <row r="290">
      <c r="A290" s="9" t="n"/>
      <c r="B290" s="10" t="n"/>
      <c r="C290" s="10" t="n"/>
      <c r="D290" s="11" t="n"/>
      <c r="E290" s="11" t="n"/>
      <c r="F290" s="10" t="n"/>
      <c r="G290" s="12">
        <f>IF(B290="","",IF(OR(COUNT(D290:E290)&lt;2,E290&lt;D290),"Проверьте даты",IF(OR(F290="Отменена",F290="Возвращена"),"",IF(SUMPRODUCT(($B$2:$B$500=B290)*($D$2:$D$500&lt;=E290)*($E$2:$E$500&gt;=D290)*($F$2:$F$500&lt;&gt;"Отменена")*($F$2:$F$500&lt;&gt;"Возвращена"))&gt;1,"Пересечение","ОК"))))</f>
        <v/>
      </c>
      <c r="H290" s="12">
        <f>IF(OR(B290="",D290=""),"",IF(AND(OR(F290="Выдана",F290="Возвращена"),SUMPRODUCT(($B$2:$B$500=B290)*($D$2:$D$500=D290)*(($F$2:$F$500="Выдана")+($F$2:$F$500="Возвращена")))&gt;1),"Дубль",""))</f>
        <v/>
      </c>
      <c r="I290" s="13">
        <f>IF(OR(B290="",COUNT(D290:E290)&lt;2,E290&lt;D290),"",IF(Настройки!$B$6=Настройки!$M$3,INT(E290)-INT(D290)+1,ROUNDUP(ROUND((E290-D290)*24,2)/24,0)))</f>
        <v/>
      </c>
      <c r="J290" s="14" t="n"/>
      <c r="K290" s="15">
        <f>IF(OR(I290="",J290=""),"",IF(F290="Отменена",0,ROUND(I290*J290,2)))</f>
        <v/>
      </c>
      <c r="L290" s="15">
        <f>IF(K290="","",ROUND(K290*Настройки!$B$5,2))</f>
        <v/>
      </c>
      <c r="M290" s="15">
        <f>IF(A290="","",SUMIFS(Начисления!$M$2:$M$1000,Начисления!$F$2:$F$1000,A290))</f>
        <v/>
      </c>
      <c r="N290" s="15">
        <f>IF(A290="","",SUM(K290:M290))</f>
        <v/>
      </c>
      <c r="O290" s="14" t="n"/>
      <c r="P290" s="15">
        <f>IF(A290="","",N290-O290)</f>
        <v/>
      </c>
      <c r="Q290" s="10" t="n"/>
      <c r="R290" s="10" t="n"/>
      <c r="S290" s="16">
        <f>IF(ISNUMBER(D290),D290+TIME(3,0,0),"")</f>
        <v/>
      </c>
      <c r="T290" s="10" t="n"/>
      <c r="U290" s="17">
        <f>IF(OR(B290="",COUNT(D290:E290)&lt;2,E290&lt;D290,F290="Отменена"),0,MAX(0,MIN(E290,Сводка!$B$4)-MAX(D290,Сводка!$B$2)))</f>
        <v/>
      </c>
    </row>
    <row r="291">
      <c r="A291" s="9" t="n"/>
      <c r="B291" s="10" t="n"/>
      <c r="C291" s="10" t="n"/>
      <c r="D291" s="11" t="n"/>
      <c r="E291" s="11" t="n"/>
      <c r="F291" s="10" t="n"/>
      <c r="G291" s="12">
        <f>IF(B291="","",IF(OR(COUNT(D291:E291)&lt;2,E291&lt;D291),"Проверьте даты",IF(OR(F291="Отменена",F291="Возвращена"),"",IF(SUMPRODUCT(($B$2:$B$500=B291)*($D$2:$D$500&lt;=E291)*($E$2:$E$500&gt;=D291)*($F$2:$F$500&lt;&gt;"Отменена")*($F$2:$F$500&lt;&gt;"Возвращена"))&gt;1,"Пересечение","ОК"))))</f>
        <v/>
      </c>
      <c r="H291" s="12">
        <f>IF(OR(B291="",D291=""),"",IF(AND(OR(F291="Выдана",F291="Возвращена"),SUMPRODUCT(($B$2:$B$500=B291)*($D$2:$D$500=D291)*(($F$2:$F$500="Выдана")+($F$2:$F$500="Возвращена")))&gt;1),"Дубль",""))</f>
        <v/>
      </c>
      <c r="I291" s="13">
        <f>IF(OR(B291="",COUNT(D291:E291)&lt;2,E291&lt;D291),"",IF(Настройки!$B$6=Настройки!$M$3,INT(E291)-INT(D291)+1,ROUNDUP(ROUND((E291-D291)*24,2)/24,0)))</f>
        <v/>
      </c>
      <c r="J291" s="14" t="n"/>
      <c r="K291" s="15">
        <f>IF(OR(I291="",J291=""),"",IF(F291="Отменена",0,ROUND(I291*J291,2)))</f>
        <v/>
      </c>
      <c r="L291" s="15">
        <f>IF(K291="","",ROUND(K291*Настройки!$B$5,2))</f>
        <v/>
      </c>
      <c r="M291" s="15">
        <f>IF(A291="","",SUMIFS(Начисления!$M$2:$M$1000,Начисления!$F$2:$F$1000,A291))</f>
        <v/>
      </c>
      <c r="N291" s="15">
        <f>IF(A291="","",SUM(K291:M291))</f>
        <v/>
      </c>
      <c r="O291" s="14" t="n"/>
      <c r="P291" s="15">
        <f>IF(A291="","",N291-O291)</f>
        <v/>
      </c>
      <c r="Q291" s="10" t="n"/>
      <c r="R291" s="10" t="n"/>
      <c r="S291" s="16">
        <f>IF(ISNUMBER(D291),D291+TIME(3,0,0),"")</f>
        <v/>
      </c>
      <c r="T291" s="10" t="n"/>
      <c r="U291" s="17">
        <f>IF(OR(B291="",COUNT(D291:E291)&lt;2,E291&lt;D291,F291="Отменена"),0,MAX(0,MIN(E291,Сводка!$B$4)-MAX(D291,Сводка!$B$2)))</f>
        <v/>
      </c>
    </row>
    <row r="292">
      <c r="A292" s="9" t="n"/>
      <c r="B292" s="10" t="n"/>
      <c r="C292" s="10" t="n"/>
      <c r="D292" s="11" t="n"/>
      <c r="E292" s="11" t="n"/>
      <c r="F292" s="10" t="n"/>
      <c r="G292" s="12">
        <f>IF(B292="","",IF(OR(COUNT(D292:E292)&lt;2,E292&lt;D292),"Проверьте даты",IF(OR(F292="Отменена",F292="Возвращена"),"",IF(SUMPRODUCT(($B$2:$B$500=B292)*($D$2:$D$500&lt;=E292)*($E$2:$E$500&gt;=D292)*($F$2:$F$500&lt;&gt;"Отменена")*($F$2:$F$500&lt;&gt;"Возвращена"))&gt;1,"Пересечение","ОК"))))</f>
        <v/>
      </c>
      <c r="H292" s="12">
        <f>IF(OR(B292="",D292=""),"",IF(AND(OR(F292="Выдана",F292="Возвращена"),SUMPRODUCT(($B$2:$B$500=B292)*($D$2:$D$500=D292)*(($F$2:$F$500="Выдана")+($F$2:$F$500="Возвращена")))&gt;1),"Дубль",""))</f>
        <v/>
      </c>
      <c r="I292" s="13">
        <f>IF(OR(B292="",COUNT(D292:E292)&lt;2,E292&lt;D292),"",IF(Настройки!$B$6=Настройки!$M$3,INT(E292)-INT(D292)+1,ROUNDUP(ROUND((E292-D292)*24,2)/24,0)))</f>
        <v/>
      </c>
      <c r="J292" s="14" t="n"/>
      <c r="K292" s="15">
        <f>IF(OR(I292="",J292=""),"",IF(F292="Отменена",0,ROUND(I292*J292,2)))</f>
        <v/>
      </c>
      <c r="L292" s="15">
        <f>IF(K292="","",ROUND(K292*Настройки!$B$5,2))</f>
        <v/>
      </c>
      <c r="M292" s="15">
        <f>IF(A292="","",SUMIFS(Начисления!$M$2:$M$1000,Начисления!$F$2:$F$1000,A292))</f>
        <v/>
      </c>
      <c r="N292" s="15">
        <f>IF(A292="","",SUM(K292:M292))</f>
        <v/>
      </c>
      <c r="O292" s="14" t="n"/>
      <c r="P292" s="15">
        <f>IF(A292="","",N292-O292)</f>
        <v/>
      </c>
      <c r="Q292" s="10" t="n"/>
      <c r="R292" s="10" t="n"/>
      <c r="S292" s="16">
        <f>IF(ISNUMBER(D292),D292+TIME(3,0,0),"")</f>
        <v/>
      </c>
      <c r="T292" s="10" t="n"/>
      <c r="U292" s="17">
        <f>IF(OR(B292="",COUNT(D292:E292)&lt;2,E292&lt;D292,F292="Отменена"),0,MAX(0,MIN(E292,Сводка!$B$4)-MAX(D292,Сводка!$B$2)))</f>
        <v/>
      </c>
    </row>
    <row r="293">
      <c r="A293" s="9" t="n"/>
      <c r="B293" s="10" t="n"/>
      <c r="C293" s="10" t="n"/>
      <c r="D293" s="11" t="n"/>
      <c r="E293" s="11" t="n"/>
      <c r="F293" s="10" t="n"/>
      <c r="G293" s="12">
        <f>IF(B293="","",IF(OR(COUNT(D293:E293)&lt;2,E293&lt;D293),"Проверьте даты",IF(OR(F293="Отменена",F293="Возвращена"),"",IF(SUMPRODUCT(($B$2:$B$500=B293)*($D$2:$D$500&lt;=E293)*($E$2:$E$500&gt;=D293)*($F$2:$F$500&lt;&gt;"Отменена")*($F$2:$F$500&lt;&gt;"Возвращена"))&gt;1,"Пересечение","ОК"))))</f>
        <v/>
      </c>
      <c r="H293" s="12">
        <f>IF(OR(B293="",D293=""),"",IF(AND(OR(F293="Выдана",F293="Возвращена"),SUMPRODUCT(($B$2:$B$500=B293)*($D$2:$D$500=D293)*(($F$2:$F$500="Выдана")+($F$2:$F$500="Возвращена")))&gt;1),"Дубль",""))</f>
        <v/>
      </c>
      <c r="I293" s="13">
        <f>IF(OR(B293="",COUNT(D293:E293)&lt;2,E293&lt;D293),"",IF(Настройки!$B$6=Настройки!$M$3,INT(E293)-INT(D293)+1,ROUNDUP(ROUND((E293-D293)*24,2)/24,0)))</f>
        <v/>
      </c>
      <c r="J293" s="14" t="n"/>
      <c r="K293" s="15">
        <f>IF(OR(I293="",J293=""),"",IF(F293="Отменена",0,ROUND(I293*J293,2)))</f>
        <v/>
      </c>
      <c r="L293" s="15">
        <f>IF(K293="","",ROUND(K293*Настройки!$B$5,2))</f>
        <v/>
      </c>
      <c r="M293" s="15">
        <f>IF(A293="","",SUMIFS(Начисления!$M$2:$M$1000,Начисления!$F$2:$F$1000,A293))</f>
        <v/>
      </c>
      <c r="N293" s="15">
        <f>IF(A293="","",SUM(K293:M293))</f>
        <v/>
      </c>
      <c r="O293" s="14" t="n"/>
      <c r="P293" s="15">
        <f>IF(A293="","",N293-O293)</f>
        <v/>
      </c>
      <c r="Q293" s="10" t="n"/>
      <c r="R293" s="10" t="n"/>
      <c r="S293" s="16">
        <f>IF(ISNUMBER(D293),D293+TIME(3,0,0),"")</f>
        <v/>
      </c>
      <c r="T293" s="10" t="n"/>
      <c r="U293" s="17">
        <f>IF(OR(B293="",COUNT(D293:E293)&lt;2,E293&lt;D293,F293="Отменена"),0,MAX(0,MIN(E293,Сводка!$B$4)-MAX(D293,Сводка!$B$2)))</f>
        <v/>
      </c>
    </row>
    <row r="294">
      <c r="A294" s="9" t="n"/>
      <c r="B294" s="10" t="n"/>
      <c r="C294" s="10" t="n"/>
      <c r="D294" s="11" t="n"/>
      <c r="E294" s="11" t="n"/>
      <c r="F294" s="10" t="n"/>
      <c r="G294" s="12">
        <f>IF(B294="","",IF(OR(COUNT(D294:E294)&lt;2,E294&lt;D294),"Проверьте даты",IF(OR(F294="Отменена",F294="Возвращена"),"",IF(SUMPRODUCT(($B$2:$B$500=B294)*($D$2:$D$500&lt;=E294)*($E$2:$E$500&gt;=D294)*($F$2:$F$500&lt;&gt;"Отменена")*($F$2:$F$500&lt;&gt;"Возвращена"))&gt;1,"Пересечение","ОК"))))</f>
        <v/>
      </c>
      <c r="H294" s="12">
        <f>IF(OR(B294="",D294=""),"",IF(AND(OR(F294="Выдана",F294="Возвращена"),SUMPRODUCT(($B$2:$B$500=B294)*($D$2:$D$500=D294)*(($F$2:$F$500="Выдана")+($F$2:$F$500="Возвращена")))&gt;1),"Дубль",""))</f>
        <v/>
      </c>
      <c r="I294" s="13">
        <f>IF(OR(B294="",COUNT(D294:E294)&lt;2,E294&lt;D294),"",IF(Настройки!$B$6=Настройки!$M$3,INT(E294)-INT(D294)+1,ROUNDUP(ROUND((E294-D294)*24,2)/24,0)))</f>
        <v/>
      </c>
      <c r="J294" s="14" t="n"/>
      <c r="K294" s="15">
        <f>IF(OR(I294="",J294=""),"",IF(F294="Отменена",0,ROUND(I294*J294,2)))</f>
        <v/>
      </c>
      <c r="L294" s="15">
        <f>IF(K294="","",ROUND(K294*Настройки!$B$5,2))</f>
        <v/>
      </c>
      <c r="M294" s="15">
        <f>IF(A294="","",SUMIFS(Начисления!$M$2:$M$1000,Начисления!$F$2:$F$1000,A294))</f>
        <v/>
      </c>
      <c r="N294" s="15">
        <f>IF(A294="","",SUM(K294:M294))</f>
        <v/>
      </c>
      <c r="O294" s="14" t="n"/>
      <c r="P294" s="15">
        <f>IF(A294="","",N294-O294)</f>
        <v/>
      </c>
      <c r="Q294" s="10" t="n"/>
      <c r="R294" s="10" t="n"/>
      <c r="S294" s="16">
        <f>IF(ISNUMBER(D294),D294+TIME(3,0,0),"")</f>
        <v/>
      </c>
      <c r="T294" s="10" t="n"/>
      <c r="U294" s="17">
        <f>IF(OR(B294="",COUNT(D294:E294)&lt;2,E294&lt;D294,F294="Отменена"),0,MAX(0,MIN(E294,Сводка!$B$4)-MAX(D294,Сводка!$B$2)))</f>
        <v/>
      </c>
    </row>
    <row r="295">
      <c r="A295" s="9" t="n"/>
      <c r="B295" s="10" t="n"/>
      <c r="C295" s="10" t="n"/>
      <c r="D295" s="11" t="n"/>
      <c r="E295" s="11" t="n"/>
      <c r="F295" s="10" t="n"/>
      <c r="G295" s="12">
        <f>IF(B295="","",IF(OR(COUNT(D295:E295)&lt;2,E295&lt;D295),"Проверьте даты",IF(OR(F295="Отменена",F295="Возвращена"),"",IF(SUMPRODUCT(($B$2:$B$500=B295)*($D$2:$D$500&lt;=E295)*($E$2:$E$500&gt;=D295)*($F$2:$F$500&lt;&gt;"Отменена")*($F$2:$F$500&lt;&gt;"Возвращена"))&gt;1,"Пересечение","ОК"))))</f>
        <v/>
      </c>
      <c r="H295" s="12">
        <f>IF(OR(B295="",D295=""),"",IF(AND(OR(F295="Выдана",F295="Возвращена"),SUMPRODUCT(($B$2:$B$500=B295)*($D$2:$D$500=D295)*(($F$2:$F$500="Выдана")+($F$2:$F$500="Возвращена")))&gt;1),"Дубль",""))</f>
        <v/>
      </c>
      <c r="I295" s="13">
        <f>IF(OR(B295="",COUNT(D295:E295)&lt;2,E295&lt;D295),"",IF(Настройки!$B$6=Настройки!$M$3,INT(E295)-INT(D295)+1,ROUNDUP(ROUND((E295-D295)*24,2)/24,0)))</f>
        <v/>
      </c>
      <c r="J295" s="14" t="n"/>
      <c r="K295" s="15">
        <f>IF(OR(I295="",J295=""),"",IF(F295="Отменена",0,ROUND(I295*J295,2)))</f>
        <v/>
      </c>
      <c r="L295" s="15">
        <f>IF(K295="","",ROUND(K295*Настройки!$B$5,2))</f>
        <v/>
      </c>
      <c r="M295" s="15">
        <f>IF(A295="","",SUMIFS(Начисления!$M$2:$M$1000,Начисления!$F$2:$F$1000,A295))</f>
        <v/>
      </c>
      <c r="N295" s="15">
        <f>IF(A295="","",SUM(K295:M295))</f>
        <v/>
      </c>
      <c r="O295" s="14" t="n"/>
      <c r="P295" s="15">
        <f>IF(A295="","",N295-O295)</f>
        <v/>
      </c>
      <c r="Q295" s="10" t="n"/>
      <c r="R295" s="10" t="n"/>
      <c r="S295" s="16">
        <f>IF(ISNUMBER(D295),D295+TIME(3,0,0),"")</f>
        <v/>
      </c>
      <c r="T295" s="10" t="n"/>
      <c r="U295" s="17">
        <f>IF(OR(B295="",COUNT(D295:E295)&lt;2,E295&lt;D295,F295="Отменена"),0,MAX(0,MIN(E295,Сводка!$B$4)-MAX(D295,Сводка!$B$2)))</f>
        <v/>
      </c>
    </row>
    <row r="296">
      <c r="A296" s="9" t="n"/>
      <c r="B296" s="10" t="n"/>
      <c r="C296" s="10" t="n"/>
      <c r="D296" s="11" t="n"/>
      <c r="E296" s="11" t="n"/>
      <c r="F296" s="10" t="n"/>
      <c r="G296" s="12">
        <f>IF(B296="","",IF(OR(COUNT(D296:E296)&lt;2,E296&lt;D296),"Проверьте даты",IF(OR(F296="Отменена",F296="Возвращена"),"",IF(SUMPRODUCT(($B$2:$B$500=B296)*($D$2:$D$500&lt;=E296)*($E$2:$E$500&gt;=D296)*($F$2:$F$500&lt;&gt;"Отменена")*($F$2:$F$500&lt;&gt;"Возвращена"))&gt;1,"Пересечение","ОК"))))</f>
        <v/>
      </c>
      <c r="H296" s="12">
        <f>IF(OR(B296="",D296=""),"",IF(AND(OR(F296="Выдана",F296="Возвращена"),SUMPRODUCT(($B$2:$B$500=B296)*($D$2:$D$500=D296)*(($F$2:$F$500="Выдана")+($F$2:$F$500="Возвращена")))&gt;1),"Дубль",""))</f>
        <v/>
      </c>
      <c r="I296" s="13">
        <f>IF(OR(B296="",COUNT(D296:E296)&lt;2,E296&lt;D296),"",IF(Настройки!$B$6=Настройки!$M$3,INT(E296)-INT(D296)+1,ROUNDUP(ROUND((E296-D296)*24,2)/24,0)))</f>
        <v/>
      </c>
      <c r="J296" s="14" t="n"/>
      <c r="K296" s="15">
        <f>IF(OR(I296="",J296=""),"",IF(F296="Отменена",0,ROUND(I296*J296,2)))</f>
        <v/>
      </c>
      <c r="L296" s="15">
        <f>IF(K296="","",ROUND(K296*Настройки!$B$5,2))</f>
        <v/>
      </c>
      <c r="M296" s="15">
        <f>IF(A296="","",SUMIFS(Начисления!$M$2:$M$1000,Начисления!$F$2:$F$1000,A296))</f>
        <v/>
      </c>
      <c r="N296" s="15">
        <f>IF(A296="","",SUM(K296:M296))</f>
        <v/>
      </c>
      <c r="O296" s="14" t="n"/>
      <c r="P296" s="15">
        <f>IF(A296="","",N296-O296)</f>
        <v/>
      </c>
      <c r="Q296" s="10" t="n"/>
      <c r="R296" s="10" t="n"/>
      <c r="S296" s="16">
        <f>IF(ISNUMBER(D296),D296+TIME(3,0,0),"")</f>
        <v/>
      </c>
      <c r="T296" s="10" t="n"/>
      <c r="U296" s="17">
        <f>IF(OR(B296="",COUNT(D296:E296)&lt;2,E296&lt;D296,F296="Отменена"),0,MAX(0,MIN(E296,Сводка!$B$4)-MAX(D296,Сводка!$B$2)))</f>
        <v/>
      </c>
    </row>
    <row r="297">
      <c r="A297" s="9" t="n"/>
      <c r="B297" s="10" t="n"/>
      <c r="C297" s="10" t="n"/>
      <c r="D297" s="11" t="n"/>
      <c r="E297" s="11" t="n"/>
      <c r="F297" s="10" t="n"/>
      <c r="G297" s="12">
        <f>IF(B297="","",IF(OR(COUNT(D297:E297)&lt;2,E297&lt;D297),"Проверьте даты",IF(OR(F297="Отменена",F297="Возвращена"),"",IF(SUMPRODUCT(($B$2:$B$500=B297)*($D$2:$D$500&lt;=E297)*($E$2:$E$500&gt;=D297)*($F$2:$F$500&lt;&gt;"Отменена")*($F$2:$F$500&lt;&gt;"Возвращена"))&gt;1,"Пересечение","ОК"))))</f>
        <v/>
      </c>
      <c r="H297" s="12">
        <f>IF(OR(B297="",D297=""),"",IF(AND(OR(F297="Выдана",F297="Возвращена"),SUMPRODUCT(($B$2:$B$500=B297)*($D$2:$D$500=D297)*(($F$2:$F$500="Выдана")+($F$2:$F$500="Возвращена")))&gt;1),"Дубль",""))</f>
        <v/>
      </c>
      <c r="I297" s="13">
        <f>IF(OR(B297="",COUNT(D297:E297)&lt;2,E297&lt;D297),"",IF(Настройки!$B$6=Настройки!$M$3,INT(E297)-INT(D297)+1,ROUNDUP(ROUND((E297-D297)*24,2)/24,0)))</f>
        <v/>
      </c>
      <c r="J297" s="14" t="n"/>
      <c r="K297" s="15">
        <f>IF(OR(I297="",J297=""),"",IF(F297="Отменена",0,ROUND(I297*J297,2)))</f>
        <v/>
      </c>
      <c r="L297" s="15">
        <f>IF(K297="","",ROUND(K297*Настройки!$B$5,2))</f>
        <v/>
      </c>
      <c r="M297" s="15">
        <f>IF(A297="","",SUMIFS(Начисления!$M$2:$M$1000,Начисления!$F$2:$F$1000,A297))</f>
        <v/>
      </c>
      <c r="N297" s="15">
        <f>IF(A297="","",SUM(K297:M297))</f>
        <v/>
      </c>
      <c r="O297" s="14" t="n"/>
      <c r="P297" s="15">
        <f>IF(A297="","",N297-O297)</f>
        <v/>
      </c>
      <c r="Q297" s="10" t="n"/>
      <c r="R297" s="10" t="n"/>
      <c r="S297" s="16">
        <f>IF(ISNUMBER(D297),D297+TIME(3,0,0),"")</f>
        <v/>
      </c>
      <c r="T297" s="10" t="n"/>
      <c r="U297" s="17">
        <f>IF(OR(B297="",COUNT(D297:E297)&lt;2,E297&lt;D297,F297="Отменена"),0,MAX(0,MIN(E297,Сводка!$B$4)-MAX(D297,Сводка!$B$2)))</f>
        <v/>
      </c>
    </row>
    <row r="298">
      <c r="A298" s="9" t="n"/>
      <c r="B298" s="10" t="n"/>
      <c r="C298" s="10" t="n"/>
      <c r="D298" s="11" t="n"/>
      <c r="E298" s="11" t="n"/>
      <c r="F298" s="10" t="n"/>
      <c r="G298" s="12">
        <f>IF(B298="","",IF(OR(COUNT(D298:E298)&lt;2,E298&lt;D298),"Проверьте даты",IF(OR(F298="Отменена",F298="Возвращена"),"",IF(SUMPRODUCT(($B$2:$B$500=B298)*($D$2:$D$500&lt;=E298)*($E$2:$E$500&gt;=D298)*($F$2:$F$500&lt;&gt;"Отменена")*($F$2:$F$500&lt;&gt;"Возвращена"))&gt;1,"Пересечение","ОК"))))</f>
        <v/>
      </c>
      <c r="H298" s="12">
        <f>IF(OR(B298="",D298=""),"",IF(AND(OR(F298="Выдана",F298="Возвращена"),SUMPRODUCT(($B$2:$B$500=B298)*($D$2:$D$500=D298)*(($F$2:$F$500="Выдана")+($F$2:$F$500="Возвращена")))&gt;1),"Дубль",""))</f>
        <v/>
      </c>
      <c r="I298" s="13">
        <f>IF(OR(B298="",COUNT(D298:E298)&lt;2,E298&lt;D298),"",IF(Настройки!$B$6=Настройки!$M$3,INT(E298)-INT(D298)+1,ROUNDUP(ROUND((E298-D298)*24,2)/24,0)))</f>
        <v/>
      </c>
      <c r="J298" s="14" t="n"/>
      <c r="K298" s="15">
        <f>IF(OR(I298="",J298=""),"",IF(F298="Отменена",0,ROUND(I298*J298,2)))</f>
        <v/>
      </c>
      <c r="L298" s="15">
        <f>IF(K298="","",ROUND(K298*Настройки!$B$5,2))</f>
        <v/>
      </c>
      <c r="M298" s="15">
        <f>IF(A298="","",SUMIFS(Начисления!$M$2:$M$1000,Начисления!$F$2:$F$1000,A298))</f>
        <v/>
      </c>
      <c r="N298" s="15">
        <f>IF(A298="","",SUM(K298:M298))</f>
        <v/>
      </c>
      <c r="O298" s="14" t="n"/>
      <c r="P298" s="15">
        <f>IF(A298="","",N298-O298)</f>
        <v/>
      </c>
      <c r="Q298" s="10" t="n"/>
      <c r="R298" s="10" t="n"/>
      <c r="S298" s="16">
        <f>IF(ISNUMBER(D298),D298+TIME(3,0,0),"")</f>
        <v/>
      </c>
      <c r="T298" s="10" t="n"/>
      <c r="U298" s="17">
        <f>IF(OR(B298="",COUNT(D298:E298)&lt;2,E298&lt;D298,F298="Отменена"),0,MAX(0,MIN(E298,Сводка!$B$4)-MAX(D298,Сводка!$B$2)))</f>
        <v/>
      </c>
    </row>
    <row r="299">
      <c r="A299" s="9" t="n"/>
      <c r="B299" s="10" t="n"/>
      <c r="C299" s="10" t="n"/>
      <c r="D299" s="11" t="n"/>
      <c r="E299" s="11" t="n"/>
      <c r="F299" s="10" t="n"/>
      <c r="G299" s="12">
        <f>IF(B299="","",IF(OR(COUNT(D299:E299)&lt;2,E299&lt;D299),"Проверьте даты",IF(OR(F299="Отменена",F299="Возвращена"),"",IF(SUMPRODUCT(($B$2:$B$500=B299)*($D$2:$D$500&lt;=E299)*($E$2:$E$500&gt;=D299)*($F$2:$F$500&lt;&gt;"Отменена")*($F$2:$F$500&lt;&gt;"Возвращена"))&gt;1,"Пересечение","ОК"))))</f>
        <v/>
      </c>
      <c r="H299" s="12">
        <f>IF(OR(B299="",D299=""),"",IF(AND(OR(F299="Выдана",F299="Возвращена"),SUMPRODUCT(($B$2:$B$500=B299)*($D$2:$D$500=D299)*(($F$2:$F$500="Выдана")+($F$2:$F$500="Возвращена")))&gt;1),"Дубль",""))</f>
        <v/>
      </c>
      <c r="I299" s="13">
        <f>IF(OR(B299="",COUNT(D299:E299)&lt;2,E299&lt;D299),"",IF(Настройки!$B$6=Настройки!$M$3,INT(E299)-INT(D299)+1,ROUNDUP(ROUND((E299-D299)*24,2)/24,0)))</f>
        <v/>
      </c>
      <c r="J299" s="14" t="n"/>
      <c r="K299" s="15">
        <f>IF(OR(I299="",J299=""),"",IF(F299="Отменена",0,ROUND(I299*J299,2)))</f>
        <v/>
      </c>
      <c r="L299" s="15">
        <f>IF(K299="","",ROUND(K299*Настройки!$B$5,2))</f>
        <v/>
      </c>
      <c r="M299" s="15">
        <f>IF(A299="","",SUMIFS(Начисления!$M$2:$M$1000,Начисления!$F$2:$F$1000,A299))</f>
        <v/>
      </c>
      <c r="N299" s="15">
        <f>IF(A299="","",SUM(K299:M299))</f>
        <v/>
      </c>
      <c r="O299" s="14" t="n"/>
      <c r="P299" s="15">
        <f>IF(A299="","",N299-O299)</f>
        <v/>
      </c>
      <c r="Q299" s="10" t="n"/>
      <c r="R299" s="10" t="n"/>
      <c r="S299" s="16">
        <f>IF(ISNUMBER(D299),D299+TIME(3,0,0),"")</f>
        <v/>
      </c>
      <c r="T299" s="10" t="n"/>
      <c r="U299" s="17">
        <f>IF(OR(B299="",COUNT(D299:E299)&lt;2,E299&lt;D299,F299="Отменена"),0,MAX(0,MIN(E299,Сводка!$B$4)-MAX(D299,Сводка!$B$2)))</f>
        <v/>
      </c>
    </row>
    <row r="300">
      <c r="A300" s="9" t="n"/>
      <c r="B300" s="10" t="n"/>
      <c r="C300" s="10" t="n"/>
      <c r="D300" s="11" t="n"/>
      <c r="E300" s="11" t="n"/>
      <c r="F300" s="10" t="n"/>
      <c r="G300" s="12">
        <f>IF(B300="","",IF(OR(COUNT(D300:E300)&lt;2,E300&lt;D300),"Проверьте даты",IF(OR(F300="Отменена",F300="Возвращена"),"",IF(SUMPRODUCT(($B$2:$B$500=B300)*($D$2:$D$500&lt;=E300)*($E$2:$E$500&gt;=D300)*($F$2:$F$500&lt;&gt;"Отменена")*($F$2:$F$500&lt;&gt;"Возвращена"))&gt;1,"Пересечение","ОК"))))</f>
        <v/>
      </c>
      <c r="H300" s="12">
        <f>IF(OR(B300="",D300=""),"",IF(AND(OR(F300="Выдана",F300="Возвращена"),SUMPRODUCT(($B$2:$B$500=B300)*($D$2:$D$500=D300)*(($F$2:$F$500="Выдана")+($F$2:$F$500="Возвращена")))&gt;1),"Дубль",""))</f>
        <v/>
      </c>
      <c r="I300" s="13">
        <f>IF(OR(B300="",COUNT(D300:E300)&lt;2,E300&lt;D300),"",IF(Настройки!$B$6=Настройки!$M$3,INT(E300)-INT(D300)+1,ROUNDUP(ROUND((E300-D300)*24,2)/24,0)))</f>
        <v/>
      </c>
      <c r="J300" s="14" t="n"/>
      <c r="K300" s="15">
        <f>IF(OR(I300="",J300=""),"",IF(F300="Отменена",0,ROUND(I300*J300,2)))</f>
        <v/>
      </c>
      <c r="L300" s="15">
        <f>IF(K300="","",ROUND(K300*Настройки!$B$5,2))</f>
        <v/>
      </c>
      <c r="M300" s="15">
        <f>IF(A300="","",SUMIFS(Начисления!$M$2:$M$1000,Начисления!$F$2:$F$1000,A300))</f>
        <v/>
      </c>
      <c r="N300" s="15">
        <f>IF(A300="","",SUM(K300:M300))</f>
        <v/>
      </c>
      <c r="O300" s="14" t="n"/>
      <c r="P300" s="15">
        <f>IF(A300="","",N300-O300)</f>
        <v/>
      </c>
      <c r="Q300" s="10" t="n"/>
      <c r="R300" s="10" t="n"/>
      <c r="S300" s="16">
        <f>IF(ISNUMBER(D300),D300+TIME(3,0,0),"")</f>
        <v/>
      </c>
      <c r="T300" s="10" t="n"/>
      <c r="U300" s="17">
        <f>IF(OR(B300="",COUNT(D300:E300)&lt;2,E300&lt;D300,F300="Отменена"),0,MAX(0,MIN(E300,Сводка!$B$4)-MAX(D300,Сводка!$B$2)))</f>
        <v/>
      </c>
    </row>
    <row r="301">
      <c r="A301" s="9" t="n"/>
      <c r="B301" s="10" t="n"/>
      <c r="C301" s="10" t="n"/>
      <c r="D301" s="11" t="n"/>
      <c r="E301" s="11" t="n"/>
      <c r="F301" s="10" t="n"/>
      <c r="G301" s="12">
        <f>IF(B301="","",IF(OR(COUNT(D301:E301)&lt;2,E301&lt;D301),"Проверьте даты",IF(OR(F301="Отменена",F301="Возвращена"),"",IF(SUMPRODUCT(($B$2:$B$500=B301)*($D$2:$D$500&lt;=E301)*($E$2:$E$500&gt;=D301)*($F$2:$F$500&lt;&gt;"Отменена")*($F$2:$F$500&lt;&gt;"Возвращена"))&gt;1,"Пересечение","ОК"))))</f>
        <v/>
      </c>
      <c r="H301" s="12">
        <f>IF(OR(B301="",D301=""),"",IF(AND(OR(F301="Выдана",F301="Возвращена"),SUMPRODUCT(($B$2:$B$500=B301)*($D$2:$D$500=D301)*(($F$2:$F$500="Выдана")+($F$2:$F$500="Возвращена")))&gt;1),"Дубль",""))</f>
        <v/>
      </c>
      <c r="I301" s="13">
        <f>IF(OR(B301="",COUNT(D301:E301)&lt;2,E301&lt;D301),"",IF(Настройки!$B$6=Настройки!$M$3,INT(E301)-INT(D301)+1,ROUNDUP(ROUND((E301-D301)*24,2)/24,0)))</f>
        <v/>
      </c>
      <c r="J301" s="14" t="n"/>
      <c r="K301" s="15">
        <f>IF(OR(I301="",J301=""),"",IF(F301="Отменена",0,ROUND(I301*J301,2)))</f>
        <v/>
      </c>
      <c r="L301" s="15">
        <f>IF(K301="","",ROUND(K301*Настройки!$B$5,2))</f>
        <v/>
      </c>
      <c r="M301" s="15">
        <f>IF(A301="","",SUMIFS(Начисления!$M$2:$M$1000,Начисления!$F$2:$F$1000,A301))</f>
        <v/>
      </c>
      <c r="N301" s="15">
        <f>IF(A301="","",SUM(K301:M301))</f>
        <v/>
      </c>
      <c r="O301" s="14" t="n"/>
      <c r="P301" s="15">
        <f>IF(A301="","",N301-O301)</f>
        <v/>
      </c>
      <c r="Q301" s="10" t="n"/>
      <c r="R301" s="10" t="n"/>
      <c r="S301" s="16">
        <f>IF(ISNUMBER(D301),D301+TIME(3,0,0),"")</f>
        <v/>
      </c>
      <c r="T301" s="10" t="n"/>
      <c r="U301" s="17">
        <f>IF(OR(B301="",COUNT(D301:E301)&lt;2,E301&lt;D301,F301="Отменена"),0,MAX(0,MIN(E301,Сводка!$B$4)-MAX(D301,Сводка!$B$2)))</f>
        <v/>
      </c>
    </row>
    <row r="302">
      <c r="A302" s="9" t="n"/>
      <c r="B302" s="10" t="n"/>
      <c r="C302" s="10" t="n"/>
      <c r="D302" s="11" t="n"/>
      <c r="E302" s="11" t="n"/>
      <c r="F302" s="10" t="n"/>
      <c r="G302" s="12">
        <f>IF(B302="","",IF(OR(COUNT(D302:E302)&lt;2,E302&lt;D302),"Проверьте даты",IF(OR(F302="Отменена",F302="Возвращена"),"",IF(SUMPRODUCT(($B$2:$B$500=B302)*($D$2:$D$500&lt;=E302)*($E$2:$E$500&gt;=D302)*($F$2:$F$500&lt;&gt;"Отменена")*($F$2:$F$500&lt;&gt;"Возвращена"))&gt;1,"Пересечение","ОК"))))</f>
        <v/>
      </c>
      <c r="H302" s="12">
        <f>IF(OR(B302="",D302=""),"",IF(AND(OR(F302="Выдана",F302="Возвращена"),SUMPRODUCT(($B$2:$B$500=B302)*($D$2:$D$500=D302)*(($F$2:$F$500="Выдана")+($F$2:$F$500="Возвращена")))&gt;1),"Дубль",""))</f>
        <v/>
      </c>
      <c r="I302" s="13">
        <f>IF(OR(B302="",COUNT(D302:E302)&lt;2,E302&lt;D302),"",IF(Настройки!$B$6=Настройки!$M$3,INT(E302)-INT(D302)+1,ROUNDUP(ROUND((E302-D302)*24,2)/24,0)))</f>
        <v/>
      </c>
      <c r="J302" s="14" t="n"/>
      <c r="K302" s="15">
        <f>IF(OR(I302="",J302=""),"",IF(F302="Отменена",0,ROUND(I302*J302,2)))</f>
        <v/>
      </c>
      <c r="L302" s="15">
        <f>IF(K302="","",ROUND(K302*Настройки!$B$5,2))</f>
        <v/>
      </c>
      <c r="M302" s="15">
        <f>IF(A302="","",SUMIFS(Начисления!$M$2:$M$1000,Начисления!$F$2:$F$1000,A302))</f>
        <v/>
      </c>
      <c r="N302" s="15">
        <f>IF(A302="","",SUM(K302:M302))</f>
        <v/>
      </c>
      <c r="O302" s="14" t="n"/>
      <c r="P302" s="15">
        <f>IF(A302="","",N302-O302)</f>
        <v/>
      </c>
      <c r="Q302" s="10" t="n"/>
      <c r="R302" s="10" t="n"/>
      <c r="S302" s="16">
        <f>IF(ISNUMBER(D302),D302+TIME(3,0,0),"")</f>
        <v/>
      </c>
      <c r="T302" s="10" t="n"/>
      <c r="U302" s="17">
        <f>IF(OR(B302="",COUNT(D302:E302)&lt;2,E302&lt;D302,F302="Отменена"),0,MAX(0,MIN(E302,Сводка!$B$4)-MAX(D302,Сводка!$B$2)))</f>
        <v/>
      </c>
    </row>
    <row r="303">
      <c r="A303" s="9" t="n"/>
      <c r="B303" s="10" t="n"/>
      <c r="C303" s="10" t="n"/>
      <c r="D303" s="11" t="n"/>
      <c r="E303" s="11" t="n"/>
      <c r="F303" s="10" t="n"/>
      <c r="G303" s="12">
        <f>IF(B303="","",IF(OR(COUNT(D303:E303)&lt;2,E303&lt;D303),"Проверьте даты",IF(OR(F303="Отменена",F303="Возвращена"),"",IF(SUMPRODUCT(($B$2:$B$500=B303)*($D$2:$D$500&lt;=E303)*($E$2:$E$500&gt;=D303)*($F$2:$F$500&lt;&gt;"Отменена")*($F$2:$F$500&lt;&gt;"Возвращена"))&gt;1,"Пересечение","ОК"))))</f>
        <v/>
      </c>
      <c r="H303" s="12">
        <f>IF(OR(B303="",D303=""),"",IF(AND(OR(F303="Выдана",F303="Возвращена"),SUMPRODUCT(($B$2:$B$500=B303)*($D$2:$D$500=D303)*(($F$2:$F$500="Выдана")+($F$2:$F$500="Возвращена")))&gt;1),"Дубль",""))</f>
        <v/>
      </c>
      <c r="I303" s="13">
        <f>IF(OR(B303="",COUNT(D303:E303)&lt;2,E303&lt;D303),"",IF(Настройки!$B$6=Настройки!$M$3,INT(E303)-INT(D303)+1,ROUNDUP(ROUND((E303-D303)*24,2)/24,0)))</f>
        <v/>
      </c>
      <c r="J303" s="14" t="n"/>
      <c r="K303" s="15">
        <f>IF(OR(I303="",J303=""),"",IF(F303="Отменена",0,ROUND(I303*J303,2)))</f>
        <v/>
      </c>
      <c r="L303" s="15">
        <f>IF(K303="","",ROUND(K303*Настройки!$B$5,2))</f>
        <v/>
      </c>
      <c r="M303" s="15">
        <f>IF(A303="","",SUMIFS(Начисления!$M$2:$M$1000,Начисления!$F$2:$F$1000,A303))</f>
        <v/>
      </c>
      <c r="N303" s="15">
        <f>IF(A303="","",SUM(K303:M303))</f>
        <v/>
      </c>
      <c r="O303" s="14" t="n"/>
      <c r="P303" s="15">
        <f>IF(A303="","",N303-O303)</f>
        <v/>
      </c>
      <c r="Q303" s="10" t="n"/>
      <c r="R303" s="10" t="n"/>
      <c r="S303" s="16">
        <f>IF(ISNUMBER(D303),D303+TIME(3,0,0),"")</f>
        <v/>
      </c>
      <c r="T303" s="10" t="n"/>
      <c r="U303" s="17">
        <f>IF(OR(B303="",COUNT(D303:E303)&lt;2,E303&lt;D303,F303="Отменена"),0,MAX(0,MIN(E303,Сводка!$B$4)-MAX(D303,Сводка!$B$2)))</f>
        <v/>
      </c>
    </row>
    <row r="304">
      <c r="A304" s="9" t="n"/>
      <c r="B304" s="10" t="n"/>
      <c r="C304" s="10" t="n"/>
      <c r="D304" s="11" t="n"/>
      <c r="E304" s="11" t="n"/>
      <c r="F304" s="10" t="n"/>
      <c r="G304" s="12">
        <f>IF(B304="","",IF(OR(COUNT(D304:E304)&lt;2,E304&lt;D304),"Проверьте даты",IF(OR(F304="Отменена",F304="Возвращена"),"",IF(SUMPRODUCT(($B$2:$B$500=B304)*($D$2:$D$500&lt;=E304)*($E$2:$E$500&gt;=D304)*($F$2:$F$500&lt;&gt;"Отменена")*($F$2:$F$500&lt;&gt;"Возвращена"))&gt;1,"Пересечение","ОК"))))</f>
        <v/>
      </c>
      <c r="H304" s="12">
        <f>IF(OR(B304="",D304=""),"",IF(AND(OR(F304="Выдана",F304="Возвращена"),SUMPRODUCT(($B$2:$B$500=B304)*($D$2:$D$500=D304)*(($F$2:$F$500="Выдана")+($F$2:$F$500="Возвращена")))&gt;1),"Дубль",""))</f>
        <v/>
      </c>
      <c r="I304" s="13">
        <f>IF(OR(B304="",COUNT(D304:E304)&lt;2,E304&lt;D304),"",IF(Настройки!$B$6=Настройки!$M$3,INT(E304)-INT(D304)+1,ROUNDUP(ROUND((E304-D304)*24,2)/24,0)))</f>
        <v/>
      </c>
      <c r="J304" s="14" t="n"/>
      <c r="K304" s="15">
        <f>IF(OR(I304="",J304=""),"",IF(F304="Отменена",0,ROUND(I304*J304,2)))</f>
        <v/>
      </c>
      <c r="L304" s="15">
        <f>IF(K304="","",ROUND(K304*Настройки!$B$5,2))</f>
        <v/>
      </c>
      <c r="M304" s="15">
        <f>IF(A304="","",SUMIFS(Начисления!$M$2:$M$1000,Начисления!$F$2:$F$1000,A304))</f>
        <v/>
      </c>
      <c r="N304" s="15">
        <f>IF(A304="","",SUM(K304:M304))</f>
        <v/>
      </c>
      <c r="O304" s="14" t="n"/>
      <c r="P304" s="15">
        <f>IF(A304="","",N304-O304)</f>
        <v/>
      </c>
      <c r="Q304" s="10" t="n"/>
      <c r="R304" s="10" t="n"/>
      <c r="S304" s="16">
        <f>IF(ISNUMBER(D304),D304+TIME(3,0,0),"")</f>
        <v/>
      </c>
      <c r="T304" s="10" t="n"/>
      <c r="U304" s="17">
        <f>IF(OR(B304="",COUNT(D304:E304)&lt;2,E304&lt;D304,F304="Отменена"),0,MAX(0,MIN(E304,Сводка!$B$4)-MAX(D304,Сводка!$B$2)))</f>
        <v/>
      </c>
    </row>
    <row r="305">
      <c r="A305" s="9" t="n"/>
      <c r="B305" s="10" t="n"/>
      <c r="C305" s="10" t="n"/>
      <c r="D305" s="11" t="n"/>
      <c r="E305" s="11" t="n"/>
      <c r="F305" s="10" t="n"/>
      <c r="G305" s="12">
        <f>IF(B305="","",IF(OR(COUNT(D305:E305)&lt;2,E305&lt;D305),"Проверьте даты",IF(OR(F305="Отменена",F305="Возвращена"),"",IF(SUMPRODUCT(($B$2:$B$500=B305)*($D$2:$D$500&lt;=E305)*($E$2:$E$500&gt;=D305)*($F$2:$F$500&lt;&gt;"Отменена")*($F$2:$F$500&lt;&gt;"Возвращена"))&gt;1,"Пересечение","ОК"))))</f>
        <v/>
      </c>
      <c r="H305" s="12">
        <f>IF(OR(B305="",D305=""),"",IF(AND(OR(F305="Выдана",F305="Возвращена"),SUMPRODUCT(($B$2:$B$500=B305)*($D$2:$D$500=D305)*(($F$2:$F$500="Выдана")+($F$2:$F$500="Возвращена")))&gt;1),"Дубль",""))</f>
        <v/>
      </c>
      <c r="I305" s="13">
        <f>IF(OR(B305="",COUNT(D305:E305)&lt;2,E305&lt;D305),"",IF(Настройки!$B$6=Настройки!$M$3,INT(E305)-INT(D305)+1,ROUNDUP(ROUND((E305-D305)*24,2)/24,0)))</f>
        <v/>
      </c>
      <c r="J305" s="14" t="n"/>
      <c r="K305" s="15">
        <f>IF(OR(I305="",J305=""),"",IF(F305="Отменена",0,ROUND(I305*J305,2)))</f>
        <v/>
      </c>
      <c r="L305" s="15">
        <f>IF(K305="","",ROUND(K305*Настройки!$B$5,2))</f>
        <v/>
      </c>
      <c r="M305" s="15">
        <f>IF(A305="","",SUMIFS(Начисления!$M$2:$M$1000,Начисления!$F$2:$F$1000,A305))</f>
        <v/>
      </c>
      <c r="N305" s="15">
        <f>IF(A305="","",SUM(K305:M305))</f>
        <v/>
      </c>
      <c r="O305" s="14" t="n"/>
      <c r="P305" s="15">
        <f>IF(A305="","",N305-O305)</f>
        <v/>
      </c>
      <c r="Q305" s="10" t="n"/>
      <c r="R305" s="10" t="n"/>
      <c r="S305" s="16">
        <f>IF(ISNUMBER(D305),D305+TIME(3,0,0),"")</f>
        <v/>
      </c>
      <c r="T305" s="10" t="n"/>
      <c r="U305" s="17">
        <f>IF(OR(B305="",COUNT(D305:E305)&lt;2,E305&lt;D305,F305="Отменена"),0,MAX(0,MIN(E305,Сводка!$B$4)-MAX(D305,Сводка!$B$2)))</f>
        <v/>
      </c>
    </row>
    <row r="306">
      <c r="A306" s="9" t="n"/>
      <c r="B306" s="10" t="n"/>
      <c r="C306" s="10" t="n"/>
      <c r="D306" s="11" t="n"/>
      <c r="E306" s="11" t="n"/>
      <c r="F306" s="10" t="n"/>
      <c r="G306" s="12">
        <f>IF(B306="","",IF(OR(COUNT(D306:E306)&lt;2,E306&lt;D306),"Проверьте даты",IF(OR(F306="Отменена",F306="Возвращена"),"",IF(SUMPRODUCT(($B$2:$B$500=B306)*($D$2:$D$500&lt;=E306)*($E$2:$E$500&gt;=D306)*($F$2:$F$500&lt;&gt;"Отменена")*($F$2:$F$500&lt;&gt;"Возвращена"))&gt;1,"Пересечение","ОК"))))</f>
        <v/>
      </c>
      <c r="H306" s="12">
        <f>IF(OR(B306="",D306=""),"",IF(AND(OR(F306="Выдана",F306="Возвращена"),SUMPRODUCT(($B$2:$B$500=B306)*($D$2:$D$500=D306)*(($F$2:$F$500="Выдана")+($F$2:$F$500="Возвращена")))&gt;1),"Дубль",""))</f>
        <v/>
      </c>
      <c r="I306" s="13">
        <f>IF(OR(B306="",COUNT(D306:E306)&lt;2,E306&lt;D306),"",IF(Настройки!$B$6=Настройки!$M$3,INT(E306)-INT(D306)+1,ROUNDUP(ROUND((E306-D306)*24,2)/24,0)))</f>
        <v/>
      </c>
      <c r="J306" s="14" t="n"/>
      <c r="K306" s="15">
        <f>IF(OR(I306="",J306=""),"",IF(F306="Отменена",0,ROUND(I306*J306,2)))</f>
        <v/>
      </c>
      <c r="L306" s="15">
        <f>IF(K306="","",ROUND(K306*Настройки!$B$5,2))</f>
        <v/>
      </c>
      <c r="M306" s="15">
        <f>IF(A306="","",SUMIFS(Начисления!$M$2:$M$1000,Начисления!$F$2:$F$1000,A306))</f>
        <v/>
      </c>
      <c r="N306" s="15">
        <f>IF(A306="","",SUM(K306:M306))</f>
        <v/>
      </c>
      <c r="O306" s="14" t="n"/>
      <c r="P306" s="15">
        <f>IF(A306="","",N306-O306)</f>
        <v/>
      </c>
      <c r="Q306" s="10" t="n"/>
      <c r="R306" s="10" t="n"/>
      <c r="S306" s="16">
        <f>IF(ISNUMBER(D306),D306+TIME(3,0,0),"")</f>
        <v/>
      </c>
      <c r="T306" s="10" t="n"/>
      <c r="U306" s="17">
        <f>IF(OR(B306="",COUNT(D306:E306)&lt;2,E306&lt;D306,F306="Отменена"),0,MAX(0,MIN(E306,Сводка!$B$4)-MAX(D306,Сводка!$B$2)))</f>
        <v/>
      </c>
    </row>
    <row r="307">
      <c r="A307" s="9" t="n"/>
      <c r="B307" s="10" t="n"/>
      <c r="C307" s="10" t="n"/>
      <c r="D307" s="11" t="n"/>
      <c r="E307" s="11" t="n"/>
      <c r="F307" s="10" t="n"/>
      <c r="G307" s="12">
        <f>IF(B307="","",IF(OR(COUNT(D307:E307)&lt;2,E307&lt;D307),"Проверьте даты",IF(OR(F307="Отменена",F307="Возвращена"),"",IF(SUMPRODUCT(($B$2:$B$500=B307)*($D$2:$D$500&lt;=E307)*($E$2:$E$500&gt;=D307)*($F$2:$F$500&lt;&gt;"Отменена")*($F$2:$F$500&lt;&gt;"Возвращена"))&gt;1,"Пересечение","ОК"))))</f>
        <v/>
      </c>
      <c r="H307" s="12">
        <f>IF(OR(B307="",D307=""),"",IF(AND(OR(F307="Выдана",F307="Возвращена"),SUMPRODUCT(($B$2:$B$500=B307)*($D$2:$D$500=D307)*(($F$2:$F$500="Выдана")+($F$2:$F$500="Возвращена")))&gt;1),"Дубль",""))</f>
        <v/>
      </c>
      <c r="I307" s="13">
        <f>IF(OR(B307="",COUNT(D307:E307)&lt;2,E307&lt;D307),"",IF(Настройки!$B$6=Настройки!$M$3,INT(E307)-INT(D307)+1,ROUNDUP(ROUND((E307-D307)*24,2)/24,0)))</f>
        <v/>
      </c>
      <c r="J307" s="14" t="n"/>
      <c r="K307" s="15">
        <f>IF(OR(I307="",J307=""),"",IF(F307="Отменена",0,ROUND(I307*J307,2)))</f>
        <v/>
      </c>
      <c r="L307" s="15">
        <f>IF(K307="","",ROUND(K307*Настройки!$B$5,2))</f>
        <v/>
      </c>
      <c r="M307" s="15">
        <f>IF(A307="","",SUMIFS(Начисления!$M$2:$M$1000,Начисления!$F$2:$F$1000,A307))</f>
        <v/>
      </c>
      <c r="N307" s="15">
        <f>IF(A307="","",SUM(K307:M307))</f>
        <v/>
      </c>
      <c r="O307" s="14" t="n"/>
      <c r="P307" s="15">
        <f>IF(A307="","",N307-O307)</f>
        <v/>
      </c>
      <c r="Q307" s="10" t="n"/>
      <c r="R307" s="10" t="n"/>
      <c r="S307" s="16">
        <f>IF(ISNUMBER(D307),D307+TIME(3,0,0),"")</f>
        <v/>
      </c>
      <c r="T307" s="10" t="n"/>
      <c r="U307" s="17">
        <f>IF(OR(B307="",COUNT(D307:E307)&lt;2,E307&lt;D307,F307="Отменена"),0,MAX(0,MIN(E307,Сводка!$B$4)-MAX(D307,Сводка!$B$2)))</f>
        <v/>
      </c>
    </row>
    <row r="308">
      <c r="A308" s="9" t="n"/>
      <c r="B308" s="10" t="n"/>
      <c r="C308" s="10" t="n"/>
      <c r="D308" s="11" t="n"/>
      <c r="E308" s="11" t="n"/>
      <c r="F308" s="10" t="n"/>
      <c r="G308" s="12">
        <f>IF(B308="","",IF(OR(COUNT(D308:E308)&lt;2,E308&lt;D308),"Проверьте даты",IF(OR(F308="Отменена",F308="Возвращена"),"",IF(SUMPRODUCT(($B$2:$B$500=B308)*($D$2:$D$500&lt;=E308)*($E$2:$E$500&gt;=D308)*($F$2:$F$500&lt;&gt;"Отменена")*($F$2:$F$500&lt;&gt;"Возвращена"))&gt;1,"Пересечение","ОК"))))</f>
        <v/>
      </c>
      <c r="H308" s="12">
        <f>IF(OR(B308="",D308=""),"",IF(AND(OR(F308="Выдана",F308="Возвращена"),SUMPRODUCT(($B$2:$B$500=B308)*($D$2:$D$500=D308)*(($F$2:$F$500="Выдана")+($F$2:$F$500="Возвращена")))&gt;1),"Дубль",""))</f>
        <v/>
      </c>
      <c r="I308" s="13">
        <f>IF(OR(B308="",COUNT(D308:E308)&lt;2,E308&lt;D308),"",IF(Настройки!$B$6=Настройки!$M$3,INT(E308)-INT(D308)+1,ROUNDUP(ROUND((E308-D308)*24,2)/24,0)))</f>
        <v/>
      </c>
      <c r="J308" s="14" t="n"/>
      <c r="K308" s="15">
        <f>IF(OR(I308="",J308=""),"",IF(F308="Отменена",0,ROUND(I308*J308,2)))</f>
        <v/>
      </c>
      <c r="L308" s="15">
        <f>IF(K308="","",ROUND(K308*Настройки!$B$5,2))</f>
        <v/>
      </c>
      <c r="M308" s="15">
        <f>IF(A308="","",SUMIFS(Начисления!$M$2:$M$1000,Начисления!$F$2:$F$1000,A308))</f>
        <v/>
      </c>
      <c r="N308" s="15">
        <f>IF(A308="","",SUM(K308:M308))</f>
        <v/>
      </c>
      <c r="O308" s="14" t="n"/>
      <c r="P308" s="15">
        <f>IF(A308="","",N308-O308)</f>
        <v/>
      </c>
      <c r="Q308" s="10" t="n"/>
      <c r="R308" s="10" t="n"/>
      <c r="S308" s="16">
        <f>IF(ISNUMBER(D308),D308+TIME(3,0,0),"")</f>
        <v/>
      </c>
      <c r="T308" s="10" t="n"/>
      <c r="U308" s="17">
        <f>IF(OR(B308="",COUNT(D308:E308)&lt;2,E308&lt;D308,F308="Отменена"),0,MAX(0,MIN(E308,Сводка!$B$4)-MAX(D308,Сводка!$B$2)))</f>
        <v/>
      </c>
    </row>
    <row r="309">
      <c r="A309" s="9" t="n"/>
      <c r="B309" s="10" t="n"/>
      <c r="C309" s="10" t="n"/>
      <c r="D309" s="11" t="n"/>
      <c r="E309" s="11" t="n"/>
      <c r="F309" s="10" t="n"/>
      <c r="G309" s="12">
        <f>IF(B309="","",IF(OR(COUNT(D309:E309)&lt;2,E309&lt;D309),"Проверьте даты",IF(OR(F309="Отменена",F309="Возвращена"),"",IF(SUMPRODUCT(($B$2:$B$500=B309)*($D$2:$D$500&lt;=E309)*($E$2:$E$500&gt;=D309)*($F$2:$F$500&lt;&gt;"Отменена")*($F$2:$F$500&lt;&gt;"Возвращена"))&gt;1,"Пересечение","ОК"))))</f>
        <v/>
      </c>
      <c r="H309" s="12">
        <f>IF(OR(B309="",D309=""),"",IF(AND(OR(F309="Выдана",F309="Возвращена"),SUMPRODUCT(($B$2:$B$500=B309)*($D$2:$D$500=D309)*(($F$2:$F$500="Выдана")+($F$2:$F$500="Возвращена")))&gt;1),"Дубль",""))</f>
        <v/>
      </c>
      <c r="I309" s="13">
        <f>IF(OR(B309="",COUNT(D309:E309)&lt;2,E309&lt;D309),"",IF(Настройки!$B$6=Настройки!$M$3,INT(E309)-INT(D309)+1,ROUNDUP(ROUND((E309-D309)*24,2)/24,0)))</f>
        <v/>
      </c>
      <c r="J309" s="14" t="n"/>
      <c r="K309" s="15">
        <f>IF(OR(I309="",J309=""),"",IF(F309="Отменена",0,ROUND(I309*J309,2)))</f>
        <v/>
      </c>
      <c r="L309" s="15">
        <f>IF(K309="","",ROUND(K309*Настройки!$B$5,2))</f>
        <v/>
      </c>
      <c r="M309" s="15">
        <f>IF(A309="","",SUMIFS(Начисления!$M$2:$M$1000,Начисления!$F$2:$F$1000,A309))</f>
        <v/>
      </c>
      <c r="N309" s="15">
        <f>IF(A309="","",SUM(K309:M309))</f>
        <v/>
      </c>
      <c r="O309" s="14" t="n"/>
      <c r="P309" s="15">
        <f>IF(A309="","",N309-O309)</f>
        <v/>
      </c>
      <c r="Q309" s="10" t="n"/>
      <c r="R309" s="10" t="n"/>
      <c r="S309" s="16">
        <f>IF(ISNUMBER(D309),D309+TIME(3,0,0),"")</f>
        <v/>
      </c>
      <c r="T309" s="10" t="n"/>
      <c r="U309" s="17">
        <f>IF(OR(B309="",COUNT(D309:E309)&lt;2,E309&lt;D309,F309="Отменена"),0,MAX(0,MIN(E309,Сводка!$B$4)-MAX(D309,Сводка!$B$2)))</f>
        <v/>
      </c>
    </row>
    <row r="310">
      <c r="A310" s="9" t="n"/>
      <c r="B310" s="10" t="n"/>
      <c r="C310" s="10" t="n"/>
      <c r="D310" s="11" t="n"/>
      <c r="E310" s="11" t="n"/>
      <c r="F310" s="10" t="n"/>
      <c r="G310" s="12">
        <f>IF(B310="","",IF(OR(COUNT(D310:E310)&lt;2,E310&lt;D310),"Проверьте даты",IF(OR(F310="Отменена",F310="Возвращена"),"",IF(SUMPRODUCT(($B$2:$B$500=B310)*($D$2:$D$500&lt;=E310)*($E$2:$E$500&gt;=D310)*($F$2:$F$500&lt;&gt;"Отменена")*($F$2:$F$500&lt;&gt;"Возвращена"))&gt;1,"Пересечение","ОК"))))</f>
        <v/>
      </c>
      <c r="H310" s="12">
        <f>IF(OR(B310="",D310=""),"",IF(AND(OR(F310="Выдана",F310="Возвращена"),SUMPRODUCT(($B$2:$B$500=B310)*($D$2:$D$500=D310)*(($F$2:$F$500="Выдана")+($F$2:$F$500="Возвращена")))&gt;1),"Дубль",""))</f>
        <v/>
      </c>
      <c r="I310" s="13">
        <f>IF(OR(B310="",COUNT(D310:E310)&lt;2,E310&lt;D310),"",IF(Настройки!$B$6=Настройки!$M$3,INT(E310)-INT(D310)+1,ROUNDUP(ROUND((E310-D310)*24,2)/24,0)))</f>
        <v/>
      </c>
      <c r="J310" s="14" t="n"/>
      <c r="K310" s="15">
        <f>IF(OR(I310="",J310=""),"",IF(F310="Отменена",0,ROUND(I310*J310,2)))</f>
        <v/>
      </c>
      <c r="L310" s="15">
        <f>IF(K310="","",ROUND(K310*Настройки!$B$5,2))</f>
        <v/>
      </c>
      <c r="M310" s="15">
        <f>IF(A310="","",SUMIFS(Начисления!$M$2:$M$1000,Начисления!$F$2:$F$1000,A310))</f>
        <v/>
      </c>
      <c r="N310" s="15">
        <f>IF(A310="","",SUM(K310:M310))</f>
        <v/>
      </c>
      <c r="O310" s="14" t="n"/>
      <c r="P310" s="15">
        <f>IF(A310="","",N310-O310)</f>
        <v/>
      </c>
      <c r="Q310" s="10" t="n"/>
      <c r="R310" s="10" t="n"/>
      <c r="S310" s="16">
        <f>IF(ISNUMBER(D310),D310+TIME(3,0,0),"")</f>
        <v/>
      </c>
      <c r="T310" s="10" t="n"/>
      <c r="U310" s="17">
        <f>IF(OR(B310="",COUNT(D310:E310)&lt;2,E310&lt;D310,F310="Отменена"),0,MAX(0,MIN(E310,Сводка!$B$4)-MAX(D310,Сводка!$B$2)))</f>
        <v/>
      </c>
    </row>
    <row r="311">
      <c r="A311" s="9" t="n"/>
      <c r="B311" s="10" t="n"/>
      <c r="C311" s="10" t="n"/>
      <c r="D311" s="11" t="n"/>
      <c r="E311" s="11" t="n"/>
      <c r="F311" s="10" t="n"/>
      <c r="G311" s="12">
        <f>IF(B311="","",IF(OR(COUNT(D311:E311)&lt;2,E311&lt;D311),"Проверьте даты",IF(OR(F311="Отменена",F311="Возвращена"),"",IF(SUMPRODUCT(($B$2:$B$500=B311)*($D$2:$D$500&lt;=E311)*($E$2:$E$500&gt;=D311)*($F$2:$F$500&lt;&gt;"Отменена")*($F$2:$F$500&lt;&gt;"Возвращена"))&gt;1,"Пересечение","ОК"))))</f>
        <v/>
      </c>
      <c r="H311" s="12">
        <f>IF(OR(B311="",D311=""),"",IF(AND(OR(F311="Выдана",F311="Возвращена"),SUMPRODUCT(($B$2:$B$500=B311)*($D$2:$D$500=D311)*(($F$2:$F$500="Выдана")+($F$2:$F$500="Возвращена")))&gt;1),"Дубль",""))</f>
        <v/>
      </c>
      <c r="I311" s="13">
        <f>IF(OR(B311="",COUNT(D311:E311)&lt;2,E311&lt;D311),"",IF(Настройки!$B$6=Настройки!$M$3,INT(E311)-INT(D311)+1,ROUNDUP(ROUND((E311-D311)*24,2)/24,0)))</f>
        <v/>
      </c>
      <c r="J311" s="14" t="n"/>
      <c r="K311" s="15">
        <f>IF(OR(I311="",J311=""),"",IF(F311="Отменена",0,ROUND(I311*J311,2)))</f>
        <v/>
      </c>
      <c r="L311" s="15">
        <f>IF(K311="","",ROUND(K311*Настройки!$B$5,2))</f>
        <v/>
      </c>
      <c r="M311" s="15">
        <f>IF(A311="","",SUMIFS(Начисления!$M$2:$M$1000,Начисления!$F$2:$F$1000,A311))</f>
        <v/>
      </c>
      <c r="N311" s="15">
        <f>IF(A311="","",SUM(K311:M311))</f>
        <v/>
      </c>
      <c r="O311" s="14" t="n"/>
      <c r="P311" s="15">
        <f>IF(A311="","",N311-O311)</f>
        <v/>
      </c>
      <c r="Q311" s="10" t="n"/>
      <c r="R311" s="10" t="n"/>
      <c r="S311" s="16">
        <f>IF(ISNUMBER(D311),D311+TIME(3,0,0),"")</f>
        <v/>
      </c>
      <c r="T311" s="10" t="n"/>
      <c r="U311" s="17">
        <f>IF(OR(B311="",COUNT(D311:E311)&lt;2,E311&lt;D311,F311="Отменена"),0,MAX(0,MIN(E311,Сводка!$B$4)-MAX(D311,Сводка!$B$2)))</f>
        <v/>
      </c>
    </row>
    <row r="312">
      <c r="A312" s="9" t="n"/>
      <c r="B312" s="10" t="n"/>
      <c r="C312" s="10" t="n"/>
      <c r="D312" s="11" t="n"/>
      <c r="E312" s="11" t="n"/>
      <c r="F312" s="10" t="n"/>
      <c r="G312" s="12">
        <f>IF(B312="","",IF(OR(COUNT(D312:E312)&lt;2,E312&lt;D312),"Проверьте даты",IF(OR(F312="Отменена",F312="Возвращена"),"",IF(SUMPRODUCT(($B$2:$B$500=B312)*($D$2:$D$500&lt;=E312)*($E$2:$E$500&gt;=D312)*($F$2:$F$500&lt;&gt;"Отменена")*($F$2:$F$500&lt;&gt;"Возвращена"))&gt;1,"Пересечение","ОК"))))</f>
        <v/>
      </c>
      <c r="H312" s="12">
        <f>IF(OR(B312="",D312=""),"",IF(AND(OR(F312="Выдана",F312="Возвращена"),SUMPRODUCT(($B$2:$B$500=B312)*($D$2:$D$500=D312)*(($F$2:$F$500="Выдана")+($F$2:$F$500="Возвращена")))&gt;1),"Дубль",""))</f>
        <v/>
      </c>
      <c r="I312" s="13">
        <f>IF(OR(B312="",COUNT(D312:E312)&lt;2,E312&lt;D312),"",IF(Настройки!$B$6=Настройки!$M$3,INT(E312)-INT(D312)+1,ROUNDUP(ROUND((E312-D312)*24,2)/24,0)))</f>
        <v/>
      </c>
      <c r="J312" s="14" t="n"/>
      <c r="K312" s="15">
        <f>IF(OR(I312="",J312=""),"",IF(F312="Отменена",0,ROUND(I312*J312,2)))</f>
        <v/>
      </c>
      <c r="L312" s="15">
        <f>IF(K312="","",ROUND(K312*Настройки!$B$5,2))</f>
        <v/>
      </c>
      <c r="M312" s="15">
        <f>IF(A312="","",SUMIFS(Начисления!$M$2:$M$1000,Начисления!$F$2:$F$1000,A312))</f>
        <v/>
      </c>
      <c r="N312" s="15">
        <f>IF(A312="","",SUM(K312:M312))</f>
        <v/>
      </c>
      <c r="O312" s="14" t="n"/>
      <c r="P312" s="15">
        <f>IF(A312="","",N312-O312)</f>
        <v/>
      </c>
      <c r="Q312" s="10" t="n"/>
      <c r="R312" s="10" t="n"/>
      <c r="S312" s="16">
        <f>IF(ISNUMBER(D312),D312+TIME(3,0,0),"")</f>
        <v/>
      </c>
      <c r="T312" s="10" t="n"/>
      <c r="U312" s="17">
        <f>IF(OR(B312="",COUNT(D312:E312)&lt;2,E312&lt;D312,F312="Отменена"),0,MAX(0,MIN(E312,Сводка!$B$4)-MAX(D312,Сводка!$B$2)))</f>
        <v/>
      </c>
    </row>
    <row r="313">
      <c r="A313" s="9" t="n"/>
      <c r="B313" s="10" t="n"/>
      <c r="C313" s="10" t="n"/>
      <c r="D313" s="11" t="n"/>
      <c r="E313" s="11" t="n"/>
      <c r="F313" s="10" t="n"/>
      <c r="G313" s="12">
        <f>IF(B313="","",IF(OR(COUNT(D313:E313)&lt;2,E313&lt;D313),"Проверьте даты",IF(OR(F313="Отменена",F313="Возвращена"),"",IF(SUMPRODUCT(($B$2:$B$500=B313)*($D$2:$D$500&lt;=E313)*($E$2:$E$500&gt;=D313)*($F$2:$F$500&lt;&gt;"Отменена")*($F$2:$F$500&lt;&gt;"Возвращена"))&gt;1,"Пересечение","ОК"))))</f>
        <v/>
      </c>
      <c r="H313" s="12">
        <f>IF(OR(B313="",D313=""),"",IF(AND(OR(F313="Выдана",F313="Возвращена"),SUMPRODUCT(($B$2:$B$500=B313)*($D$2:$D$500=D313)*(($F$2:$F$500="Выдана")+($F$2:$F$500="Возвращена")))&gt;1),"Дубль",""))</f>
        <v/>
      </c>
      <c r="I313" s="13">
        <f>IF(OR(B313="",COUNT(D313:E313)&lt;2,E313&lt;D313),"",IF(Настройки!$B$6=Настройки!$M$3,INT(E313)-INT(D313)+1,ROUNDUP(ROUND((E313-D313)*24,2)/24,0)))</f>
        <v/>
      </c>
      <c r="J313" s="14" t="n"/>
      <c r="K313" s="15">
        <f>IF(OR(I313="",J313=""),"",IF(F313="Отменена",0,ROUND(I313*J313,2)))</f>
        <v/>
      </c>
      <c r="L313" s="15">
        <f>IF(K313="","",ROUND(K313*Настройки!$B$5,2))</f>
        <v/>
      </c>
      <c r="M313" s="15">
        <f>IF(A313="","",SUMIFS(Начисления!$M$2:$M$1000,Начисления!$F$2:$F$1000,A313))</f>
        <v/>
      </c>
      <c r="N313" s="15">
        <f>IF(A313="","",SUM(K313:M313))</f>
        <v/>
      </c>
      <c r="O313" s="14" t="n"/>
      <c r="P313" s="15">
        <f>IF(A313="","",N313-O313)</f>
        <v/>
      </c>
      <c r="Q313" s="10" t="n"/>
      <c r="R313" s="10" t="n"/>
      <c r="S313" s="16">
        <f>IF(ISNUMBER(D313),D313+TIME(3,0,0),"")</f>
        <v/>
      </c>
      <c r="T313" s="10" t="n"/>
      <c r="U313" s="17">
        <f>IF(OR(B313="",COUNT(D313:E313)&lt;2,E313&lt;D313,F313="Отменена"),0,MAX(0,MIN(E313,Сводка!$B$4)-MAX(D313,Сводка!$B$2)))</f>
        <v/>
      </c>
    </row>
    <row r="314">
      <c r="A314" s="9" t="n"/>
      <c r="B314" s="10" t="n"/>
      <c r="C314" s="10" t="n"/>
      <c r="D314" s="11" t="n"/>
      <c r="E314" s="11" t="n"/>
      <c r="F314" s="10" t="n"/>
      <c r="G314" s="12">
        <f>IF(B314="","",IF(OR(COUNT(D314:E314)&lt;2,E314&lt;D314),"Проверьте даты",IF(OR(F314="Отменена",F314="Возвращена"),"",IF(SUMPRODUCT(($B$2:$B$500=B314)*($D$2:$D$500&lt;=E314)*($E$2:$E$500&gt;=D314)*($F$2:$F$500&lt;&gt;"Отменена")*($F$2:$F$500&lt;&gt;"Возвращена"))&gt;1,"Пересечение","ОК"))))</f>
        <v/>
      </c>
      <c r="H314" s="12">
        <f>IF(OR(B314="",D314=""),"",IF(AND(OR(F314="Выдана",F314="Возвращена"),SUMPRODUCT(($B$2:$B$500=B314)*($D$2:$D$500=D314)*(($F$2:$F$500="Выдана")+($F$2:$F$500="Возвращена")))&gt;1),"Дубль",""))</f>
        <v/>
      </c>
      <c r="I314" s="13">
        <f>IF(OR(B314="",COUNT(D314:E314)&lt;2,E314&lt;D314),"",IF(Настройки!$B$6=Настройки!$M$3,INT(E314)-INT(D314)+1,ROUNDUP(ROUND((E314-D314)*24,2)/24,0)))</f>
        <v/>
      </c>
      <c r="J314" s="14" t="n"/>
      <c r="K314" s="15">
        <f>IF(OR(I314="",J314=""),"",IF(F314="Отменена",0,ROUND(I314*J314,2)))</f>
        <v/>
      </c>
      <c r="L314" s="15">
        <f>IF(K314="","",ROUND(K314*Настройки!$B$5,2))</f>
        <v/>
      </c>
      <c r="M314" s="15">
        <f>IF(A314="","",SUMIFS(Начисления!$M$2:$M$1000,Начисления!$F$2:$F$1000,A314))</f>
        <v/>
      </c>
      <c r="N314" s="15">
        <f>IF(A314="","",SUM(K314:M314))</f>
        <v/>
      </c>
      <c r="O314" s="14" t="n"/>
      <c r="P314" s="15">
        <f>IF(A314="","",N314-O314)</f>
        <v/>
      </c>
      <c r="Q314" s="10" t="n"/>
      <c r="R314" s="10" t="n"/>
      <c r="S314" s="16">
        <f>IF(ISNUMBER(D314),D314+TIME(3,0,0),"")</f>
        <v/>
      </c>
      <c r="T314" s="10" t="n"/>
      <c r="U314" s="17">
        <f>IF(OR(B314="",COUNT(D314:E314)&lt;2,E314&lt;D314,F314="Отменена"),0,MAX(0,MIN(E314,Сводка!$B$4)-MAX(D314,Сводка!$B$2)))</f>
        <v/>
      </c>
    </row>
    <row r="315">
      <c r="A315" s="9" t="n"/>
      <c r="B315" s="10" t="n"/>
      <c r="C315" s="10" t="n"/>
      <c r="D315" s="11" t="n"/>
      <c r="E315" s="11" t="n"/>
      <c r="F315" s="10" t="n"/>
      <c r="G315" s="12">
        <f>IF(B315="","",IF(OR(COUNT(D315:E315)&lt;2,E315&lt;D315),"Проверьте даты",IF(OR(F315="Отменена",F315="Возвращена"),"",IF(SUMPRODUCT(($B$2:$B$500=B315)*($D$2:$D$500&lt;=E315)*($E$2:$E$500&gt;=D315)*($F$2:$F$500&lt;&gt;"Отменена")*($F$2:$F$500&lt;&gt;"Возвращена"))&gt;1,"Пересечение","ОК"))))</f>
        <v/>
      </c>
      <c r="H315" s="12">
        <f>IF(OR(B315="",D315=""),"",IF(AND(OR(F315="Выдана",F315="Возвращена"),SUMPRODUCT(($B$2:$B$500=B315)*($D$2:$D$500=D315)*(($F$2:$F$500="Выдана")+($F$2:$F$500="Возвращена")))&gt;1),"Дубль",""))</f>
        <v/>
      </c>
      <c r="I315" s="13">
        <f>IF(OR(B315="",COUNT(D315:E315)&lt;2,E315&lt;D315),"",IF(Настройки!$B$6=Настройки!$M$3,INT(E315)-INT(D315)+1,ROUNDUP(ROUND((E315-D315)*24,2)/24,0)))</f>
        <v/>
      </c>
      <c r="J315" s="14" t="n"/>
      <c r="K315" s="15">
        <f>IF(OR(I315="",J315=""),"",IF(F315="Отменена",0,ROUND(I315*J315,2)))</f>
        <v/>
      </c>
      <c r="L315" s="15">
        <f>IF(K315="","",ROUND(K315*Настройки!$B$5,2))</f>
        <v/>
      </c>
      <c r="M315" s="15">
        <f>IF(A315="","",SUMIFS(Начисления!$M$2:$M$1000,Начисления!$F$2:$F$1000,A315))</f>
        <v/>
      </c>
      <c r="N315" s="15">
        <f>IF(A315="","",SUM(K315:M315))</f>
        <v/>
      </c>
      <c r="O315" s="14" t="n"/>
      <c r="P315" s="15">
        <f>IF(A315="","",N315-O315)</f>
        <v/>
      </c>
      <c r="Q315" s="10" t="n"/>
      <c r="R315" s="10" t="n"/>
      <c r="S315" s="16">
        <f>IF(ISNUMBER(D315),D315+TIME(3,0,0),"")</f>
        <v/>
      </c>
      <c r="T315" s="10" t="n"/>
      <c r="U315" s="17">
        <f>IF(OR(B315="",COUNT(D315:E315)&lt;2,E315&lt;D315,F315="Отменена"),0,MAX(0,MIN(E315,Сводка!$B$4)-MAX(D315,Сводка!$B$2)))</f>
        <v/>
      </c>
    </row>
    <row r="316">
      <c r="A316" s="9" t="n"/>
      <c r="B316" s="10" t="n"/>
      <c r="C316" s="10" t="n"/>
      <c r="D316" s="11" t="n"/>
      <c r="E316" s="11" t="n"/>
      <c r="F316" s="10" t="n"/>
      <c r="G316" s="12">
        <f>IF(B316="","",IF(OR(COUNT(D316:E316)&lt;2,E316&lt;D316),"Проверьте даты",IF(OR(F316="Отменена",F316="Возвращена"),"",IF(SUMPRODUCT(($B$2:$B$500=B316)*($D$2:$D$500&lt;=E316)*($E$2:$E$500&gt;=D316)*($F$2:$F$500&lt;&gt;"Отменена")*($F$2:$F$500&lt;&gt;"Возвращена"))&gt;1,"Пересечение","ОК"))))</f>
        <v/>
      </c>
      <c r="H316" s="12">
        <f>IF(OR(B316="",D316=""),"",IF(AND(OR(F316="Выдана",F316="Возвращена"),SUMPRODUCT(($B$2:$B$500=B316)*($D$2:$D$500=D316)*(($F$2:$F$500="Выдана")+($F$2:$F$500="Возвращена")))&gt;1),"Дубль",""))</f>
        <v/>
      </c>
      <c r="I316" s="13">
        <f>IF(OR(B316="",COUNT(D316:E316)&lt;2,E316&lt;D316),"",IF(Настройки!$B$6=Настройки!$M$3,INT(E316)-INT(D316)+1,ROUNDUP(ROUND((E316-D316)*24,2)/24,0)))</f>
        <v/>
      </c>
      <c r="J316" s="14" t="n"/>
      <c r="K316" s="15">
        <f>IF(OR(I316="",J316=""),"",IF(F316="Отменена",0,ROUND(I316*J316,2)))</f>
        <v/>
      </c>
      <c r="L316" s="15">
        <f>IF(K316="","",ROUND(K316*Настройки!$B$5,2))</f>
        <v/>
      </c>
      <c r="M316" s="15">
        <f>IF(A316="","",SUMIFS(Начисления!$M$2:$M$1000,Начисления!$F$2:$F$1000,A316))</f>
        <v/>
      </c>
      <c r="N316" s="15">
        <f>IF(A316="","",SUM(K316:M316))</f>
        <v/>
      </c>
      <c r="O316" s="14" t="n"/>
      <c r="P316" s="15">
        <f>IF(A316="","",N316-O316)</f>
        <v/>
      </c>
      <c r="Q316" s="10" t="n"/>
      <c r="R316" s="10" t="n"/>
      <c r="S316" s="16">
        <f>IF(ISNUMBER(D316),D316+TIME(3,0,0),"")</f>
        <v/>
      </c>
      <c r="T316" s="10" t="n"/>
      <c r="U316" s="17">
        <f>IF(OR(B316="",COUNT(D316:E316)&lt;2,E316&lt;D316,F316="Отменена"),0,MAX(0,MIN(E316,Сводка!$B$4)-MAX(D316,Сводка!$B$2)))</f>
        <v/>
      </c>
    </row>
    <row r="317">
      <c r="A317" s="9" t="n"/>
      <c r="B317" s="10" t="n"/>
      <c r="C317" s="10" t="n"/>
      <c r="D317" s="11" t="n"/>
      <c r="E317" s="11" t="n"/>
      <c r="F317" s="10" t="n"/>
      <c r="G317" s="12">
        <f>IF(B317="","",IF(OR(COUNT(D317:E317)&lt;2,E317&lt;D317),"Проверьте даты",IF(OR(F317="Отменена",F317="Возвращена"),"",IF(SUMPRODUCT(($B$2:$B$500=B317)*($D$2:$D$500&lt;=E317)*($E$2:$E$500&gt;=D317)*($F$2:$F$500&lt;&gt;"Отменена")*($F$2:$F$500&lt;&gt;"Возвращена"))&gt;1,"Пересечение","ОК"))))</f>
        <v/>
      </c>
      <c r="H317" s="12">
        <f>IF(OR(B317="",D317=""),"",IF(AND(OR(F317="Выдана",F317="Возвращена"),SUMPRODUCT(($B$2:$B$500=B317)*($D$2:$D$500=D317)*(($F$2:$F$500="Выдана")+($F$2:$F$500="Возвращена")))&gt;1),"Дубль",""))</f>
        <v/>
      </c>
      <c r="I317" s="13">
        <f>IF(OR(B317="",COUNT(D317:E317)&lt;2,E317&lt;D317),"",IF(Настройки!$B$6=Настройки!$M$3,INT(E317)-INT(D317)+1,ROUNDUP(ROUND((E317-D317)*24,2)/24,0)))</f>
        <v/>
      </c>
      <c r="J317" s="14" t="n"/>
      <c r="K317" s="15">
        <f>IF(OR(I317="",J317=""),"",IF(F317="Отменена",0,ROUND(I317*J317,2)))</f>
        <v/>
      </c>
      <c r="L317" s="15">
        <f>IF(K317="","",ROUND(K317*Настройки!$B$5,2))</f>
        <v/>
      </c>
      <c r="M317" s="15">
        <f>IF(A317="","",SUMIFS(Начисления!$M$2:$M$1000,Начисления!$F$2:$F$1000,A317))</f>
        <v/>
      </c>
      <c r="N317" s="15">
        <f>IF(A317="","",SUM(K317:M317))</f>
        <v/>
      </c>
      <c r="O317" s="14" t="n"/>
      <c r="P317" s="15">
        <f>IF(A317="","",N317-O317)</f>
        <v/>
      </c>
      <c r="Q317" s="10" t="n"/>
      <c r="R317" s="10" t="n"/>
      <c r="S317" s="16">
        <f>IF(ISNUMBER(D317),D317+TIME(3,0,0),"")</f>
        <v/>
      </c>
      <c r="T317" s="10" t="n"/>
      <c r="U317" s="17">
        <f>IF(OR(B317="",COUNT(D317:E317)&lt;2,E317&lt;D317,F317="Отменена"),0,MAX(0,MIN(E317,Сводка!$B$4)-MAX(D317,Сводка!$B$2)))</f>
        <v/>
      </c>
    </row>
    <row r="318">
      <c r="A318" s="9" t="n"/>
      <c r="B318" s="10" t="n"/>
      <c r="C318" s="10" t="n"/>
      <c r="D318" s="11" t="n"/>
      <c r="E318" s="11" t="n"/>
      <c r="F318" s="10" t="n"/>
      <c r="G318" s="12">
        <f>IF(B318="","",IF(OR(COUNT(D318:E318)&lt;2,E318&lt;D318),"Проверьте даты",IF(OR(F318="Отменена",F318="Возвращена"),"",IF(SUMPRODUCT(($B$2:$B$500=B318)*($D$2:$D$500&lt;=E318)*($E$2:$E$500&gt;=D318)*($F$2:$F$500&lt;&gt;"Отменена")*($F$2:$F$500&lt;&gt;"Возвращена"))&gt;1,"Пересечение","ОК"))))</f>
        <v/>
      </c>
      <c r="H318" s="12">
        <f>IF(OR(B318="",D318=""),"",IF(AND(OR(F318="Выдана",F318="Возвращена"),SUMPRODUCT(($B$2:$B$500=B318)*($D$2:$D$500=D318)*(($F$2:$F$500="Выдана")+($F$2:$F$500="Возвращена")))&gt;1),"Дубль",""))</f>
        <v/>
      </c>
      <c r="I318" s="13">
        <f>IF(OR(B318="",COUNT(D318:E318)&lt;2,E318&lt;D318),"",IF(Настройки!$B$6=Настройки!$M$3,INT(E318)-INT(D318)+1,ROUNDUP(ROUND((E318-D318)*24,2)/24,0)))</f>
        <v/>
      </c>
      <c r="J318" s="14" t="n"/>
      <c r="K318" s="15">
        <f>IF(OR(I318="",J318=""),"",IF(F318="Отменена",0,ROUND(I318*J318,2)))</f>
        <v/>
      </c>
      <c r="L318" s="15">
        <f>IF(K318="","",ROUND(K318*Настройки!$B$5,2))</f>
        <v/>
      </c>
      <c r="M318" s="15">
        <f>IF(A318="","",SUMIFS(Начисления!$M$2:$M$1000,Начисления!$F$2:$F$1000,A318))</f>
        <v/>
      </c>
      <c r="N318" s="15">
        <f>IF(A318="","",SUM(K318:M318))</f>
        <v/>
      </c>
      <c r="O318" s="14" t="n"/>
      <c r="P318" s="15">
        <f>IF(A318="","",N318-O318)</f>
        <v/>
      </c>
      <c r="Q318" s="10" t="n"/>
      <c r="R318" s="10" t="n"/>
      <c r="S318" s="16">
        <f>IF(ISNUMBER(D318),D318+TIME(3,0,0),"")</f>
        <v/>
      </c>
      <c r="T318" s="10" t="n"/>
      <c r="U318" s="17">
        <f>IF(OR(B318="",COUNT(D318:E318)&lt;2,E318&lt;D318,F318="Отменена"),0,MAX(0,MIN(E318,Сводка!$B$4)-MAX(D318,Сводка!$B$2)))</f>
        <v/>
      </c>
    </row>
    <row r="319">
      <c r="A319" s="9" t="n"/>
      <c r="B319" s="10" t="n"/>
      <c r="C319" s="10" t="n"/>
      <c r="D319" s="11" t="n"/>
      <c r="E319" s="11" t="n"/>
      <c r="F319" s="10" t="n"/>
      <c r="G319" s="12">
        <f>IF(B319="","",IF(OR(COUNT(D319:E319)&lt;2,E319&lt;D319),"Проверьте даты",IF(OR(F319="Отменена",F319="Возвращена"),"",IF(SUMPRODUCT(($B$2:$B$500=B319)*($D$2:$D$500&lt;=E319)*($E$2:$E$500&gt;=D319)*($F$2:$F$500&lt;&gt;"Отменена")*($F$2:$F$500&lt;&gt;"Возвращена"))&gt;1,"Пересечение","ОК"))))</f>
        <v/>
      </c>
      <c r="H319" s="12">
        <f>IF(OR(B319="",D319=""),"",IF(AND(OR(F319="Выдана",F319="Возвращена"),SUMPRODUCT(($B$2:$B$500=B319)*($D$2:$D$500=D319)*(($F$2:$F$500="Выдана")+($F$2:$F$500="Возвращена")))&gt;1),"Дубль",""))</f>
        <v/>
      </c>
      <c r="I319" s="13">
        <f>IF(OR(B319="",COUNT(D319:E319)&lt;2,E319&lt;D319),"",IF(Настройки!$B$6=Настройки!$M$3,INT(E319)-INT(D319)+1,ROUNDUP(ROUND((E319-D319)*24,2)/24,0)))</f>
        <v/>
      </c>
      <c r="J319" s="14" t="n"/>
      <c r="K319" s="15">
        <f>IF(OR(I319="",J319=""),"",IF(F319="Отменена",0,ROUND(I319*J319,2)))</f>
        <v/>
      </c>
      <c r="L319" s="15">
        <f>IF(K319="","",ROUND(K319*Настройки!$B$5,2))</f>
        <v/>
      </c>
      <c r="M319" s="15">
        <f>IF(A319="","",SUMIFS(Начисления!$M$2:$M$1000,Начисления!$F$2:$F$1000,A319))</f>
        <v/>
      </c>
      <c r="N319" s="15">
        <f>IF(A319="","",SUM(K319:M319))</f>
        <v/>
      </c>
      <c r="O319" s="14" t="n"/>
      <c r="P319" s="15">
        <f>IF(A319="","",N319-O319)</f>
        <v/>
      </c>
      <c r="Q319" s="10" t="n"/>
      <c r="R319" s="10" t="n"/>
      <c r="S319" s="16">
        <f>IF(ISNUMBER(D319),D319+TIME(3,0,0),"")</f>
        <v/>
      </c>
      <c r="T319" s="10" t="n"/>
      <c r="U319" s="17">
        <f>IF(OR(B319="",COUNT(D319:E319)&lt;2,E319&lt;D319,F319="Отменена"),0,MAX(0,MIN(E319,Сводка!$B$4)-MAX(D319,Сводка!$B$2)))</f>
        <v/>
      </c>
    </row>
    <row r="320">
      <c r="A320" s="9" t="n"/>
      <c r="B320" s="10" t="n"/>
      <c r="C320" s="10" t="n"/>
      <c r="D320" s="11" t="n"/>
      <c r="E320" s="11" t="n"/>
      <c r="F320" s="10" t="n"/>
      <c r="G320" s="12">
        <f>IF(B320="","",IF(OR(COUNT(D320:E320)&lt;2,E320&lt;D320),"Проверьте даты",IF(OR(F320="Отменена",F320="Возвращена"),"",IF(SUMPRODUCT(($B$2:$B$500=B320)*($D$2:$D$500&lt;=E320)*($E$2:$E$500&gt;=D320)*($F$2:$F$500&lt;&gt;"Отменена")*($F$2:$F$500&lt;&gt;"Возвращена"))&gt;1,"Пересечение","ОК"))))</f>
        <v/>
      </c>
      <c r="H320" s="12">
        <f>IF(OR(B320="",D320=""),"",IF(AND(OR(F320="Выдана",F320="Возвращена"),SUMPRODUCT(($B$2:$B$500=B320)*($D$2:$D$500=D320)*(($F$2:$F$500="Выдана")+($F$2:$F$500="Возвращена")))&gt;1),"Дубль",""))</f>
        <v/>
      </c>
      <c r="I320" s="13">
        <f>IF(OR(B320="",COUNT(D320:E320)&lt;2,E320&lt;D320),"",IF(Настройки!$B$6=Настройки!$M$3,INT(E320)-INT(D320)+1,ROUNDUP(ROUND((E320-D320)*24,2)/24,0)))</f>
        <v/>
      </c>
      <c r="J320" s="14" t="n"/>
      <c r="K320" s="15">
        <f>IF(OR(I320="",J320=""),"",IF(F320="Отменена",0,ROUND(I320*J320,2)))</f>
        <v/>
      </c>
      <c r="L320" s="15">
        <f>IF(K320="","",ROUND(K320*Настройки!$B$5,2))</f>
        <v/>
      </c>
      <c r="M320" s="15">
        <f>IF(A320="","",SUMIFS(Начисления!$M$2:$M$1000,Начисления!$F$2:$F$1000,A320))</f>
        <v/>
      </c>
      <c r="N320" s="15">
        <f>IF(A320="","",SUM(K320:M320))</f>
        <v/>
      </c>
      <c r="O320" s="14" t="n"/>
      <c r="P320" s="15">
        <f>IF(A320="","",N320-O320)</f>
        <v/>
      </c>
      <c r="Q320" s="10" t="n"/>
      <c r="R320" s="10" t="n"/>
      <c r="S320" s="16">
        <f>IF(ISNUMBER(D320),D320+TIME(3,0,0),"")</f>
        <v/>
      </c>
      <c r="T320" s="10" t="n"/>
      <c r="U320" s="17">
        <f>IF(OR(B320="",COUNT(D320:E320)&lt;2,E320&lt;D320,F320="Отменена"),0,MAX(0,MIN(E320,Сводка!$B$4)-MAX(D320,Сводка!$B$2)))</f>
        <v/>
      </c>
    </row>
    <row r="321">
      <c r="A321" s="9" t="n"/>
      <c r="B321" s="10" t="n"/>
      <c r="C321" s="10" t="n"/>
      <c r="D321" s="11" t="n"/>
      <c r="E321" s="11" t="n"/>
      <c r="F321" s="10" t="n"/>
      <c r="G321" s="12">
        <f>IF(B321="","",IF(OR(COUNT(D321:E321)&lt;2,E321&lt;D321),"Проверьте даты",IF(OR(F321="Отменена",F321="Возвращена"),"",IF(SUMPRODUCT(($B$2:$B$500=B321)*($D$2:$D$500&lt;=E321)*($E$2:$E$500&gt;=D321)*($F$2:$F$500&lt;&gt;"Отменена")*($F$2:$F$500&lt;&gt;"Возвращена"))&gt;1,"Пересечение","ОК"))))</f>
        <v/>
      </c>
      <c r="H321" s="12">
        <f>IF(OR(B321="",D321=""),"",IF(AND(OR(F321="Выдана",F321="Возвращена"),SUMPRODUCT(($B$2:$B$500=B321)*($D$2:$D$500=D321)*(($F$2:$F$500="Выдана")+($F$2:$F$500="Возвращена")))&gt;1),"Дубль",""))</f>
        <v/>
      </c>
      <c r="I321" s="13">
        <f>IF(OR(B321="",COUNT(D321:E321)&lt;2,E321&lt;D321),"",IF(Настройки!$B$6=Настройки!$M$3,INT(E321)-INT(D321)+1,ROUNDUP(ROUND((E321-D321)*24,2)/24,0)))</f>
        <v/>
      </c>
      <c r="J321" s="14" t="n"/>
      <c r="K321" s="15">
        <f>IF(OR(I321="",J321=""),"",IF(F321="Отменена",0,ROUND(I321*J321,2)))</f>
        <v/>
      </c>
      <c r="L321" s="15">
        <f>IF(K321="","",ROUND(K321*Настройки!$B$5,2))</f>
        <v/>
      </c>
      <c r="M321" s="15">
        <f>IF(A321="","",SUMIFS(Начисления!$M$2:$M$1000,Начисления!$F$2:$F$1000,A321))</f>
        <v/>
      </c>
      <c r="N321" s="15">
        <f>IF(A321="","",SUM(K321:M321))</f>
        <v/>
      </c>
      <c r="O321" s="14" t="n"/>
      <c r="P321" s="15">
        <f>IF(A321="","",N321-O321)</f>
        <v/>
      </c>
      <c r="Q321" s="10" t="n"/>
      <c r="R321" s="10" t="n"/>
      <c r="S321" s="16">
        <f>IF(ISNUMBER(D321),D321+TIME(3,0,0),"")</f>
        <v/>
      </c>
      <c r="T321" s="10" t="n"/>
      <c r="U321" s="17">
        <f>IF(OR(B321="",COUNT(D321:E321)&lt;2,E321&lt;D321,F321="Отменена"),0,MAX(0,MIN(E321,Сводка!$B$4)-MAX(D321,Сводка!$B$2)))</f>
        <v/>
      </c>
    </row>
    <row r="322">
      <c r="A322" s="9" t="n"/>
      <c r="B322" s="10" t="n"/>
      <c r="C322" s="10" t="n"/>
      <c r="D322" s="11" t="n"/>
      <c r="E322" s="11" t="n"/>
      <c r="F322" s="10" t="n"/>
      <c r="G322" s="12">
        <f>IF(B322="","",IF(OR(COUNT(D322:E322)&lt;2,E322&lt;D322),"Проверьте даты",IF(OR(F322="Отменена",F322="Возвращена"),"",IF(SUMPRODUCT(($B$2:$B$500=B322)*($D$2:$D$500&lt;=E322)*($E$2:$E$500&gt;=D322)*($F$2:$F$500&lt;&gt;"Отменена")*($F$2:$F$500&lt;&gt;"Возвращена"))&gt;1,"Пересечение","ОК"))))</f>
        <v/>
      </c>
      <c r="H322" s="12">
        <f>IF(OR(B322="",D322=""),"",IF(AND(OR(F322="Выдана",F322="Возвращена"),SUMPRODUCT(($B$2:$B$500=B322)*($D$2:$D$500=D322)*(($F$2:$F$500="Выдана")+($F$2:$F$500="Возвращена")))&gt;1),"Дубль",""))</f>
        <v/>
      </c>
      <c r="I322" s="13">
        <f>IF(OR(B322="",COUNT(D322:E322)&lt;2,E322&lt;D322),"",IF(Настройки!$B$6=Настройки!$M$3,INT(E322)-INT(D322)+1,ROUNDUP(ROUND((E322-D322)*24,2)/24,0)))</f>
        <v/>
      </c>
      <c r="J322" s="14" t="n"/>
      <c r="K322" s="15">
        <f>IF(OR(I322="",J322=""),"",IF(F322="Отменена",0,ROUND(I322*J322,2)))</f>
        <v/>
      </c>
      <c r="L322" s="15">
        <f>IF(K322="","",ROUND(K322*Настройки!$B$5,2))</f>
        <v/>
      </c>
      <c r="M322" s="15">
        <f>IF(A322="","",SUMIFS(Начисления!$M$2:$M$1000,Начисления!$F$2:$F$1000,A322))</f>
        <v/>
      </c>
      <c r="N322" s="15">
        <f>IF(A322="","",SUM(K322:M322))</f>
        <v/>
      </c>
      <c r="O322" s="14" t="n"/>
      <c r="P322" s="15">
        <f>IF(A322="","",N322-O322)</f>
        <v/>
      </c>
      <c r="Q322" s="10" t="n"/>
      <c r="R322" s="10" t="n"/>
      <c r="S322" s="16">
        <f>IF(ISNUMBER(D322),D322+TIME(3,0,0),"")</f>
        <v/>
      </c>
      <c r="T322" s="10" t="n"/>
      <c r="U322" s="17">
        <f>IF(OR(B322="",COUNT(D322:E322)&lt;2,E322&lt;D322,F322="Отменена"),0,MAX(0,MIN(E322,Сводка!$B$4)-MAX(D322,Сводка!$B$2)))</f>
        <v/>
      </c>
    </row>
    <row r="323">
      <c r="A323" s="9" t="n"/>
      <c r="B323" s="10" t="n"/>
      <c r="C323" s="10" t="n"/>
      <c r="D323" s="11" t="n"/>
      <c r="E323" s="11" t="n"/>
      <c r="F323" s="10" t="n"/>
      <c r="G323" s="12">
        <f>IF(B323="","",IF(OR(COUNT(D323:E323)&lt;2,E323&lt;D323),"Проверьте даты",IF(OR(F323="Отменена",F323="Возвращена"),"",IF(SUMPRODUCT(($B$2:$B$500=B323)*($D$2:$D$500&lt;=E323)*($E$2:$E$500&gt;=D323)*($F$2:$F$500&lt;&gt;"Отменена")*($F$2:$F$500&lt;&gt;"Возвращена"))&gt;1,"Пересечение","ОК"))))</f>
        <v/>
      </c>
      <c r="H323" s="12">
        <f>IF(OR(B323="",D323=""),"",IF(AND(OR(F323="Выдана",F323="Возвращена"),SUMPRODUCT(($B$2:$B$500=B323)*($D$2:$D$500=D323)*(($F$2:$F$500="Выдана")+($F$2:$F$500="Возвращена")))&gt;1),"Дубль",""))</f>
        <v/>
      </c>
      <c r="I323" s="13">
        <f>IF(OR(B323="",COUNT(D323:E323)&lt;2,E323&lt;D323),"",IF(Настройки!$B$6=Настройки!$M$3,INT(E323)-INT(D323)+1,ROUNDUP(ROUND((E323-D323)*24,2)/24,0)))</f>
        <v/>
      </c>
      <c r="J323" s="14" t="n"/>
      <c r="K323" s="15">
        <f>IF(OR(I323="",J323=""),"",IF(F323="Отменена",0,ROUND(I323*J323,2)))</f>
        <v/>
      </c>
      <c r="L323" s="15">
        <f>IF(K323="","",ROUND(K323*Настройки!$B$5,2))</f>
        <v/>
      </c>
      <c r="M323" s="15">
        <f>IF(A323="","",SUMIFS(Начисления!$M$2:$M$1000,Начисления!$F$2:$F$1000,A323))</f>
        <v/>
      </c>
      <c r="N323" s="15">
        <f>IF(A323="","",SUM(K323:M323))</f>
        <v/>
      </c>
      <c r="O323" s="14" t="n"/>
      <c r="P323" s="15">
        <f>IF(A323="","",N323-O323)</f>
        <v/>
      </c>
      <c r="Q323" s="10" t="n"/>
      <c r="R323" s="10" t="n"/>
      <c r="S323" s="16">
        <f>IF(ISNUMBER(D323),D323+TIME(3,0,0),"")</f>
        <v/>
      </c>
      <c r="T323" s="10" t="n"/>
      <c r="U323" s="17">
        <f>IF(OR(B323="",COUNT(D323:E323)&lt;2,E323&lt;D323,F323="Отменена"),0,MAX(0,MIN(E323,Сводка!$B$4)-MAX(D323,Сводка!$B$2)))</f>
        <v/>
      </c>
    </row>
    <row r="324">
      <c r="A324" s="9" t="n"/>
      <c r="B324" s="10" t="n"/>
      <c r="C324" s="10" t="n"/>
      <c r="D324" s="11" t="n"/>
      <c r="E324" s="11" t="n"/>
      <c r="F324" s="10" t="n"/>
      <c r="G324" s="12">
        <f>IF(B324="","",IF(OR(COUNT(D324:E324)&lt;2,E324&lt;D324),"Проверьте даты",IF(OR(F324="Отменена",F324="Возвращена"),"",IF(SUMPRODUCT(($B$2:$B$500=B324)*($D$2:$D$500&lt;=E324)*($E$2:$E$500&gt;=D324)*($F$2:$F$500&lt;&gt;"Отменена")*($F$2:$F$500&lt;&gt;"Возвращена"))&gt;1,"Пересечение","ОК"))))</f>
        <v/>
      </c>
      <c r="H324" s="12">
        <f>IF(OR(B324="",D324=""),"",IF(AND(OR(F324="Выдана",F324="Возвращена"),SUMPRODUCT(($B$2:$B$500=B324)*($D$2:$D$500=D324)*(($F$2:$F$500="Выдана")+($F$2:$F$500="Возвращена")))&gt;1),"Дубль",""))</f>
        <v/>
      </c>
      <c r="I324" s="13">
        <f>IF(OR(B324="",COUNT(D324:E324)&lt;2,E324&lt;D324),"",IF(Настройки!$B$6=Настройки!$M$3,INT(E324)-INT(D324)+1,ROUNDUP(ROUND((E324-D324)*24,2)/24,0)))</f>
        <v/>
      </c>
      <c r="J324" s="14" t="n"/>
      <c r="K324" s="15">
        <f>IF(OR(I324="",J324=""),"",IF(F324="Отменена",0,ROUND(I324*J324,2)))</f>
        <v/>
      </c>
      <c r="L324" s="15">
        <f>IF(K324="","",ROUND(K324*Настройки!$B$5,2))</f>
        <v/>
      </c>
      <c r="M324" s="15">
        <f>IF(A324="","",SUMIFS(Начисления!$M$2:$M$1000,Начисления!$F$2:$F$1000,A324))</f>
        <v/>
      </c>
      <c r="N324" s="15">
        <f>IF(A324="","",SUM(K324:M324))</f>
        <v/>
      </c>
      <c r="O324" s="14" t="n"/>
      <c r="P324" s="15">
        <f>IF(A324="","",N324-O324)</f>
        <v/>
      </c>
      <c r="Q324" s="10" t="n"/>
      <c r="R324" s="10" t="n"/>
      <c r="S324" s="16">
        <f>IF(ISNUMBER(D324),D324+TIME(3,0,0),"")</f>
        <v/>
      </c>
      <c r="T324" s="10" t="n"/>
      <c r="U324" s="17">
        <f>IF(OR(B324="",COUNT(D324:E324)&lt;2,E324&lt;D324,F324="Отменена"),0,MAX(0,MIN(E324,Сводка!$B$4)-MAX(D324,Сводка!$B$2)))</f>
        <v/>
      </c>
    </row>
    <row r="325">
      <c r="A325" s="9" t="n"/>
      <c r="B325" s="10" t="n"/>
      <c r="C325" s="10" t="n"/>
      <c r="D325" s="11" t="n"/>
      <c r="E325" s="11" t="n"/>
      <c r="F325" s="10" t="n"/>
      <c r="G325" s="12">
        <f>IF(B325="","",IF(OR(COUNT(D325:E325)&lt;2,E325&lt;D325),"Проверьте даты",IF(OR(F325="Отменена",F325="Возвращена"),"",IF(SUMPRODUCT(($B$2:$B$500=B325)*($D$2:$D$500&lt;=E325)*($E$2:$E$500&gt;=D325)*($F$2:$F$500&lt;&gt;"Отменена")*($F$2:$F$500&lt;&gt;"Возвращена"))&gt;1,"Пересечение","ОК"))))</f>
        <v/>
      </c>
      <c r="H325" s="12">
        <f>IF(OR(B325="",D325=""),"",IF(AND(OR(F325="Выдана",F325="Возвращена"),SUMPRODUCT(($B$2:$B$500=B325)*($D$2:$D$500=D325)*(($F$2:$F$500="Выдана")+($F$2:$F$500="Возвращена")))&gt;1),"Дубль",""))</f>
        <v/>
      </c>
      <c r="I325" s="13">
        <f>IF(OR(B325="",COUNT(D325:E325)&lt;2,E325&lt;D325),"",IF(Настройки!$B$6=Настройки!$M$3,INT(E325)-INT(D325)+1,ROUNDUP(ROUND((E325-D325)*24,2)/24,0)))</f>
        <v/>
      </c>
      <c r="J325" s="14" t="n"/>
      <c r="K325" s="15">
        <f>IF(OR(I325="",J325=""),"",IF(F325="Отменена",0,ROUND(I325*J325,2)))</f>
        <v/>
      </c>
      <c r="L325" s="15">
        <f>IF(K325="","",ROUND(K325*Настройки!$B$5,2))</f>
        <v/>
      </c>
      <c r="M325" s="15">
        <f>IF(A325="","",SUMIFS(Начисления!$M$2:$M$1000,Начисления!$F$2:$F$1000,A325))</f>
        <v/>
      </c>
      <c r="N325" s="15">
        <f>IF(A325="","",SUM(K325:M325))</f>
        <v/>
      </c>
      <c r="O325" s="14" t="n"/>
      <c r="P325" s="15">
        <f>IF(A325="","",N325-O325)</f>
        <v/>
      </c>
      <c r="Q325" s="10" t="n"/>
      <c r="R325" s="10" t="n"/>
      <c r="S325" s="16">
        <f>IF(ISNUMBER(D325),D325+TIME(3,0,0),"")</f>
        <v/>
      </c>
      <c r="T325" s="10" t="n"/>
      <c r="U325" s="17">
        <f>IF(OR(B325="",COUNT(D325:E325)&lt;2,E325&lt;D325,F325="Отменена"),0,MAX(0,MIN(E325,Сводка!$B$4)-MAX(D325,Сводка!$B$2)))</f>
        <v/>
      </c>
    </row>
    <row r="326">
      <c r="A326" s="9" t="n"/>
      <c r="B326" s="10" t="n"/>
      <c r="C326" s="10" t="n"/>
      <c r="D326" s="11" t="n"/>
      <c r="E326" s="11" t="n"/>
      <c r="F326" s="10" t="n"/>
      <c r="G326" s="12">
        <f>IF(B326="","",IF(OR(COUNT(D326:E326)&lt;2,E326&lt;D326),"Проверьте даты",IF(OR(F326="Отменена",F326="Возвращена"),"",IF(SUMPRODUCT(($B$2:$B$500=B326)*($D$2:$D$500&lt;=E326)*($E$2:$E$500&gt;=D326)*($F$2:$F$500&lt;&gt;"Отменена")*($F$2:$F$500&lt;&gt;"Возвращена"))&gt;1,"Пересечение","ОК"))))</f>
        <v/>
      </c>
      <c r="H326" s="12">
        <f>IF(OR(B326="",D326=""),"",IF(AND(OR(F326="Выдана",F326="Возвращена"),SUMPRODUCT(($B$2:$B$500=B326)*($D$2:$D$500=D326)*(($F$2:$F$500="Выдана")+($F$2:$F$500="Возвращена")))&gt;1),"Дубль",""))</f>
        <v/>
      </c>
      <c r="I326" s="13">
        <f>IF(OR(B326="",COUNT(D326:E326)&lt;2,E326&lt;D326),"",IF(Настройки!$B$6=Настройки!$M$3,INT(E326)-INT(D326)+1,ROUNDUP(ROUND((E326-D326)*24,2)/24,0)))</f>
        <v/>
      </c>
      <c r="J326" s="14" t="n"/>
      <c r="K326" s="15">
        <f>IF(OR(I326="",J326=""),"",IF(F326="Отменена",0,ROUND(I326*J326,2)))</f>
        <v/>
      </c>
      <c r="L326" s="15">
        <f>IF(K326="","",ROUND(K326*Настройки!$B$5,2))</f>
        <v/>
      </c>
      <c r="M326" s="15">
        <f>IF(A326="","",SUMIFS(Начисления!$M$2:$M$1000,Начисления!$F$2:$F$1000,A326))</f>
        <v/>
      </c>
      <c r="N326" s="15">
        <f>IF(A326="","",SUM(K326:M326))</f>
        <v/>
      </c>
      <c r="O326" s="14" t="n"/>
      <c r="P326" s="15">
        <f>IF(A326="","",N326-O326)</f>
        <v/>
      </c>
      <c r="Q326" s="10" t="n"/>
      <c r="R326" s="10" t="n"/>
      <c r="S326" s="16">
        <f>IF(ISNUMBER(D326),D326+TIME(3,0,0),"")</f>
        <v/>
      </c>
      <c r="T326" s="10" t="n"/>
      <c r="U326" s="17">
        <f>IF(OR(B326="",COUNT(D326:E326)&lt;2,E326&lt;D326,F326="Отменена"),0,MAX(0,MIN(E326,Сводка!$B$4)-MAX(D326,Сводка!$B$2)))</f>
        <v/>
      </c>
    </row>
    <row r="327">
      <c r="A327" s="9" t="n"/>
      <c r="B327" s="10" t="n"/>
      <c r="C327" s="10" t="n"/>
      <c r="D327" s="11" t="n"/>
      <c r="E327" s="11" t="n"/>
      <c r="F327" s="10" t="n"/>
      <c r="G327" s="12">
        <f>IF(B327="","",IF(OR(COUNT(D327:E327)&lt;2,E327&lt;D327),"Проверьте даты",IF(OR(F327="Отменена",F327="Возвращена"),"",IF(SUMPRODUCT(($B$2:$B$500=B327)*($D$2:$D$500&lt;=E327)*($E$2:$E$500&gt;=D327)*($F$2:$F$500&lt;&gt;"Отменена")*($F$2:$F$500&lt;&gt;"Возвращена"))&gt;1,"Пересечение","ОК"))))</f>
        <v/>
      </c>
      <c r="H327" s="12">
        <f>IF(OR(B327="",D327=""),"",IF(AND(OR(F327="Выдана",F327="Возвращена"),SUMPRODUCT(($B$2:$B$500=B327)*($D$2:$D$500=D327)*(($F$2:$F$500="Выдана")+($F$2:$F$500="Возвращена")))&gt;1),"Дубль",""))</f>
        <v/>
      </c>
      <c r="I327" s="13">
        <f>IF(OR(B327="",COUNT(D327:E327)&lt;2,E327&lt;D327),"",IF(Настройки!$B$6=Настройки!$M$3,INT(E327)-INT(D327)+1,ROUNDUP(ROUND((E327-D327)*24,2)/24,0)))</f>
        <v/>
      </c>
      <c r="J327" s="14" t="n"/>
      <c r="K327" s="15">
        <f>IF(OR(I327="",J327=""),"",IF(F327="Отменена",0,ROUND(I327*J327,2)))</f>
        <v/>
      </c>
      <c r="L327" s="15">
        <f>IF(K327="","",ROUND(K327*Настройки!$B$5,2))</f>
        <v/>
      </c>
      <c r="M327" s="15">
        <f>IF(A327="","",SUMIFS(Начисления!$M$2:$M$1000,Начисления!$F$2:$F$1000,A327))</f>
        <v/>
      </c>
      <c r="N327" s="15">
        <f>IF(A327="","",SUM(K327:M327))</f>
        <v/>
      </c>
      <c r="O327" s="14" t="n"/>
      <c r="P327" s="15">
        <f>IF(A327="","",N327-O327)</f>
        <v/>
      </c>
      <c r="Q327" s="10" t="n"/>
      <c r="R327" s="10" t="n"/>
      <c r="S327" s="16">
        <f>IF(ISNUMBER(D327),D327+TIME(3,0,0),"")</f>
        <v/>
      </c>
      <c r="T327" s="10" t="n"/>
      <c r="U327" s="17">
        <f>IF(OR(B327="",COUNT(D327:E327)&lt;2,E327&lt;D327,F327="Отменена"),0,MAX(0,MIN(E327,Сводка!$B$4)-MAX(D327,Сводка!$B$2)))</f>
        <v/>
      </c>
    </row>
    <row r="328">
      <c r="A328" s="9" t="n"/>
      <c r="B328" s="10" t="n"/>
      <c r="C328" s="10" t="n"/>
      <c r="D328" s="11" t="n"/>
      <c r="E328" s="11" t="n"/>
      <c r="F328" s="10" t="n"/>
      <c r="G328" s="12">
        <f>IF(B328="","",IF(OR(COUNT(D328:E328)&lt;2,E328&lt;D328),"Проверьте даты",IF(OR(F328="Отменена",F328="Возвращена"),"",IF(SUMPRODUCT(($B$2:$B$500=B328)*($D$2:$D$500&lt;=E328)*($E$2:$E$500&gt;=D328)*($F$2:$F$500&lt;&gt;"Отменена")*($F$2:$F$500&lt;&gt;"Возвращена"))&gt;1,"Пересечение","ОК"))))</f>
        <v/>
      </c>
      <c r="H328" s="12">
        <f>IF(OR(B328="",D328=""),"",IF(AND(OR(F328="Выдана",F328="Возвращена"),SUMPRODUCT(($B$2:$B$500=B328)*($D$2:$D$500=D328)*(($F$2:$F$500="Выдана")+($F$2:$F$500="Возвращена")))&gt;1),"Дубль",""))</f>
        <v/>
      </c>
      <c r="I328" s="13">
        <f>IF(OR(B328="",COUNT(D328:E328)&lt;2,E328&lt;D328),"",IF(Настройки!$B$6=Настройки!$M$3,INT(E328)-INT(D328)+1,ROUNDUP(ROUND((E328-D328)*24,2)/24,0)))</f>
        <v/>
      </c>
      <c r="J328" s="14" t="n"/>
      <c r="K328" s="15">
        <f>IF(OR(I328="",J328=""),"",IF(F328="Отменена",0,ROUND(I328*J328,2)))</f>
        <v/>
      </c>
      <c r="L328" s="15">
        <f>IF(K328="","",ROUND(K328*Настройки!$B$5,2))</f>
        <v/>
      </c>
      <c r="M328" s="15">
        <f>IF(A328="","",SUMIFS(Начисления!$M$2:$M$1000,Начисления!$F$2:$F$1000,A328))</f>
        <v/>
      </c>
      <c r="N328" s="15">
        <f>IF(A328="","",SUM(K328:M328))</f>
        <v/>
      </c>
      <c r="O328" s="14" t="n"/>
      <c r="P328" s="15">
        <f>IF(A328="","",N328-O328)</f>
        <v/>
      </c>
      <c r="Q328" s="10" t="n"/>
      <c r="R328" s="10" t="n"/>
      <c r="S328" s="16">
        <f>IF(ISNUMBER(D328),D328+TIME(3,0,0),"")</f>
        <v/>
      </c>
      <c r="T328" s="10" t="n"/>
      <c r="U328" s="17">
        <f>IF(OR(B328="",COUNT(D328:E328)&lt;2,E328&lt;D328,F328="Отменена"),0,MAX(0,MIN(E328,Сводка!$B$4)-MAX(D328,Сводка!$B$2)))</f>
        <v/>
      </c>
    </row>
    <row r="329">
      <c r="A329" s="9" t="n"/>
      <c r="B329" s="10" t="n"/>
      <c r="C329" s="10" t="n"/>
      <c r="D329" s="11" t="n"/>
      <c r="E329" s="11" t="n"/>
      <c r="F329" s="10" t="n"/>
      <c r="G329" s="12">
        <f>IF(B329="","",IF(OR(COUNT(D329:E329)&lt;2,E329&lt;D329),"Проверьте даты",IF(OR(F329="Отменена",F329="Возвращена"),"",IF(SUMPRODUCT(($B$2:$B$500=B329)*($D$2:$D$500&lt;=E329)*($E$2:$E$500&gt;=D329)*($F$2:$F$500&lt;&gt;"Отменена")*($F$2:$F$500&lt;&gt;"Возвращена"))&gt;1,"Пересечение","ОК"))))</f>
        <v/>
      </c>
      <c r="H329" s="12">
        <f>IF(OR(B329="",D329=""),"",IF(AND(OR(F329="Выдана",F329="Возвращена"),SUMPRODUCT(($B$2:$B$500=B329)*($D$2:$D$500=D329)*(($F$2:$F$500="Выдана")+($F$2:$F$500="Возвращена")))&gt;1),"Дубль",""))</f>
        <v/>
      </c>
      <c r="I329" s="13">
        <f>IF(OR(B329="",COUNT(D329:E329)&lt;2,E329&lt;D329),"",IF(Настройки!$B$6=Настройки!$M$3,INT(E329)-INT(D329)+1,ROUNDUP(ROUND((E329-D329)*24,2)/24,0)))</f>
        <v/>
      </c>
      <c r="J329" s="14" t="n"/>
      <c r="K329" s="15">
        <f>IF(OR(I329="",J329=""),"",IF(F329="Отменена",0,ROUND(I329*J329,2)))</f>
        <v/>
      </c>
      <c r="L329" s="15">
        <f>IF(K329="","",ROUND(K329*Настройки!$B$5,2))</f>
        <v/>
      </c>
      <c r="M329" s="15">
        <f>IF(A329="","",SUMIFS(Начисления!$M$2:$M$1000,Начисления!$F$2:$F$1000,A329))</f>
        <v/>
      </c>
      <c r="N329" s="15">
        <f>IF(A329="","",SUM(K329:M329))</f>
        <v/>
      </c>
      <c r="O329" s="14" t="n"/>
      <c r="P329" s="15">
        <f>IF(A329="","",N329-O329)</f>
        <v/>
      </c>
      <c r="Q329" s="10" t="n"/>
      <c r="R329" s="10" t="n"/>
      <c r="S329" s="16">
        <f>IF(ISNUMBER(D329),D329+TIME(3,0,0),"")</f>
        <v/>
      </c>
      <c r="T329" s="10" t="n"/>
      <c r="U329" s="17">
        <f>IF(OR(B329="",COUNT(D329:E329)&lt;2,E329&lt;D329,F329="Отменена"),0,MAX(0,MIN(E329,Сводка!$B$4)-MAX(D329,Сводка!$B$2)))</f>
        <v/>
      </c>
    </row>
    <row r="330">
      <c r="A330" s="9" t="n"/>
      <c r="B330" s="10" t="n"/>
      <c r="C330" s="10" t="n"/>
      <c r="D330" s="11" t="n"/>
      <c r="E330" s="11" t="n"/>
      <c r="F330" s="10" t="n"/>
      <c r="G330" s="12">
        <f>IF(B330="","",IF(OR(COUNT(D330:E330)&lt;2,E330&lt;D330),"Проверьте даты",IF(OR(F330="Отменена",F330="Возвращена"),"",IF(SUMPRODUCT(($B$2:$B$500=B330)*($D$2:$D$500&lt;=E330)*($E$2:$E$500&gt;=D330)*($F$2:$F$500&lt;&gt;"Отменена")*($F$2:$F$500&lt;&gt;"Возвращена"))&gt;1,"Пересечение","ОК"))))</f>
        <v/>
      </c>
      <c r="H330" s="12">
        <f>IF(OR(B330="",D330=""),"",IF(AND(OR(F330="Выдана",F330="Возвращена"),SUMPRODUCT(($B$2:$B$500=B330)*($D$2:$D$500=D330)*(($F$2:$F$500="Выдана")+($F$2:$F$500="Возвращена")))&gt;1),"Дубль",""))</f>
        <v/>
      </c>
      <c r="I330" s="13">
        <f>IF(OR(B330="",COUNT(D330:E330)&lt;2,E330&lt;D330),"",IF(Настройки!$B$6=Настройки!$M$3,INT(E330)-INT(D330)+1,ROUNDUP(ROUND((E330-D330)*24,2)/24,0)))</f>
        <v/>
      </c>
      <c r="J330" s="14" t="n"/>
      <c r="K330" s="15">
        <f>IF(OR(I330="",J330=""),"",IF(F330="Отменена",0,ROUND(I330*J330,2)))</f>
        <v/>
      </c>
      <c r="L330" s="15">
        <f>IF(K330="","",ROUND(K330*Настройки!$B$5,2))</f>
        <v/>
      </c>
      <c r="M330" s="15">
        <f>IF(A330="","",SUMIFS(Начисления!$M$2:$M$1000,Начисления!$F$2:$F$1000,A330))</f>
        <v/>
      </c>
      <c r="N330" s="15">
        <f>IF(A330="","",SUM(K330:M330))</f>
        <v/>
      </c>
      <c r="O330" s="14" t="n"/>
      <c r="P330" s="15">
        <f>IF(A330="","",N330-O330)</f>
        <v/>
      </c>
      <c r="Q330" s="10" t="n"/>
      <c r="R330" s="10" t="n"/>
      <c r="S330" s="16">
        <f>IF(ISNUMBER(D330),D330+TIME(3,0,0),"")</f>
        <v/>
      </c>
      <c r="T330" s="10" t="n"/>
      <c r="U330" s="17">
        <f>IF(OR(B330="",COUNT(D330:E330)&lt;2,E330&lt;D330,F330="Отменена"),0,MAX(0,MIN(E330,Сводка!$B$4)-MAX(D330,Сводка!$B$2)))</f>
        <v/>
      </c>
    </row>
    <row r="331">
      <c r="A331" s="9" t="n"/>
      <c r="B331" s="10" t="n"/>
      <c r="C331" s="10" t="n"/>
      <c r="D331" s="11" t="n"/>
      <c r="E331" s="11" t="n"/>
      <c r="F331" s="10" t="n"/>
      <c r="G331" s="12">
        <f>IF(B331="","",IF(OR(COUNT(D331:E331)&lt;2,E331&lt;D331),"Проверьте даты",IF(OR(F331="Отменена",F331="Возвращена"),"",IF(SUMPRODUCT(($B$2:$B$500=B331)*($D$2:$D$500&lt;=E331)*($E$2:$E$500&gt;=D331)*($F$2:$F$500&lt;&gt;"Отменена")*($F$2:$F$500&lt;&gt;"Возвращена"))&gt;1,"Пересечение","ОК"))))</f>
        <v/>
      </c>
      <c r="H331" s="12">
        <f>IF(OR(B331="",D331=""),"",IF(AND(OR(F331="Выдана",F331="Возвращена"),SUMPRODUCT(($B$2:$B$500=B331)*($D$2:$D$500=D331)*(($F$2:$F$500="Выдана")+($F$2:$F$500="Возвращена")))&gt;1),"Дубль",""))</f>
        <v/>
      </c>
      <c r="I331" s="13">
        <f>IF(OR(B331="",COUNT(D331:E331)&lt;2,E331&lt;D331),"",IF(Настройки!$B$6=Настройки!$M$3,INT(E331)-INT(D331)+1,ROUNDUP(ROUND((E331-D331)*24,2)/24,0)))</f>
        <v/>
      </c>
      <c r="J331" s="14" t="n"/>
      <c r="K331" s="15">
        <f>IF(OR(I331="",J331=""),"",IF(F331="Отменена",0,ROUND(I331*J331,2)))</f>
        <v/>
      </c>
      <c r="L331" s="15">
        <f>IF(K331="","",ROUND(K331*Настройки!$B$5,2))</f>
        <v/>
      </c>
      <c r="M331" s="15">
        <f>IF(A331="","",SUMIFS(Начисления!$M$2:$M$1000,Начисления!$F$2:$F$1000,A331))</f>
        <v/>
      </c>
      <c r="N331" s="15">
        <f>IF(A331="","",SUM(K331:M331))</f>
        <v/>
      </c>
      <c r="O331" s="14" t="n"/>
      <c r="P331" s="15">
        <f>IF(A331="","",N331-O331)</f>
        <v/>
      </c>
      <c r="Q331" s="10" t="n"/>
      <c r="R331" s="10" t="n"/>
      <c r="S331" s="16">
        <f>IF(ISNUMBER(D331),D331+TIME(3,0,0),"")</f>
        <v/>
      </c>
      <c r="T331" s="10" t="n"/>
      <c r="U331" s="17">
        <f>IF(OR(B331="",COUNT(D331:E331)&lt;2,E331&lt;D331,F331="Отменена"),0,MAX(0,MIN(E331,Сводка!$B$4)-MAX(D331,Сводка!$B$2)))</f>
        <v/>
      </c>
    </row>
    <row r="332">
      <c r="A332" s="9" t="n"/>
      <c r="B332" s="10" t="n"/>
      <c r="C332" s="10" t="n"/>
      <c r="D332" s="11" t="n"/>
      <c r="E332" s="11" t="n"/>
      <c r="F332" s="10" t="n"/>
      <c r="G332" s="12">
        <f>IF(B332="","",IF(OR(COUNT(D332:E332)&lt;2,E332&lt;D332),"Проверьте даты",IF(OR(F332="Отменена",F332="Возвращена"),"",IF(SUMPRODUCT(($B$2:$B$500=B332)*($D$2:$D$500&lt;=E332)*($E$2:$E$500&gt;=D332)*($F$2:$F$500&lt;&gt;"Отменена")*($F$2:$F$500&lt;&gt;"Возвращена"))&gt;1,"Пересечение","ОК"))))</f>
        <v/>
      </c>
      <c r="H332" s="12">
        <f>IF(OR(B332="",D332=""),"",IF(AND(OR(F332="Выдана",F332="Возвращена"),SUMPRODUCT(($B$2:$B$500=B332)*($D$2:$D$500=D332)*(($F$2:$F$500="Выдана")+($F$2:$F$500="Возвращена")))&gt;1),"Дубль",""))</f>
        <v/>
      </c>
      <c r="I332" s="13">
        <f>IF(OR(B332="",COUNT(D332:E332)&lt;2,E332&lt;D332),"",IF(Настройки!$B$6=Настройки!$M$3,INT(E332)-INT(D332)+1,ROUNDUP(ROUND((E332-D332)*24,2)/24,0)))</f>
        <v/>
      </c>
      <c r="J332" s="14" t="n"/>
      <c r="K332" s="15">
        <f>IF(OR(I332="",J332=""),"",IF(F332="Отменена",0,ROUND(I332*J332,2)))</f>
        <v/>
      </c>
      <c r="L332" s="15">
        <f>IF(K332="","",ROUND(K332*Настройки!$B$5,2))</f>
        <v/>
      </c>
      <c r="M332" s="15">
        <f>IF(A332="","",SUMIFS(Начисления!$M$2:$M$1000,Начисления!$F$2:$F$1000,A332))</f>
        <v/>
      </c>
      <c r="N332" s="15">
        <f>IF(A332="","",SUM(K332:M332))</f>
        <v/>
      </c>
      <c r="O332" s="14" t="n"/>
      <c r="P332" s="15">
        <f>IF(A332="","",N332-O332)</f>
        <v/>
      </c>
      <c r="Q332" s="10" t="n"/>
      <c r="R332" s="10" t="n"/>
      <c r="S332" s="16">
        <f>IF(ISNUMBER(D332),D332+TIME(3,0,0),"")</f>
        <v/>
      </c>
      <c r="T332" s="10" t="n"/>
      <c r="U332" s="17">
        <f>IF(OR(B332="",COUNT(D332:E332)&lt;2,E332&lt;D332,F332="Отменена"),0,MAX(0,MIN(E332,Сводка!$B$4)-MAX(D332,Сводка!$B$2)))</f>
        <v/>
      </c>
    </row>
    <row r="333">
      <c r="A333" s="9" t="n"/>
      <c r="B333" s="10" t="n"/>
      <c r="C333" s="10" t="n"/>
      <c r="D333" s="11" t="n"/>
      <c r="E333" s="11" t="n"/>
      <c r="F333" s="10" t="n"/>
      <c r="G333" s="12">
        <f>IF(B333="","",IF(OR(COUNT(D333:E333)&lt;2,E333&lt;D333),"Проверьте даты",IF(OR(F333="Отменена",F333="Возвращена"),"",IF(SUMPRODUCT(($B$2:$B$500=B333)*($D$2:$D$500&lt;=E333)*($E$2:$E$500&gt;=D333)*($F$2:$F$500&lt;&gt;"Отменена")*($F$2:$F$500&lt;&gt;"Возвращена"))&gt;1,"Пересечение","ОК"))))</f>
        <v/>
      </c>
      <c r="H333" s="12">
        <f>IF(OR(B333="",D333=""),"",IF(AND(OR(F333="Выдана",F333="Возвращена"),SUMPRODUCT(($B$2:$B$500=B333)*($D$2:$D$500=D333)*(($F$2:$F$500="Выдана")+($F$2:$F$500="Возвращена")))&gt;1),"Дубль",""))</f>
        <v/>
      </c>
      <c r="I333" s="13">
        <f>IF(OR(B333="",COUNT(D333:E333)&lt;2,E333&lt;D333),"",IF(Настройки!$B$6=Настройки!$M$3,INT(E333)-INT(D333)+1,ROUNDUP(ROUND((E333-D333)*24,2)/24,0)))</f>
        <v/>
      </c>
      <c r="J333" s="14" t="n"/>
      <c r="K333" s="15">
        <f>IF(OR(I333="",J333=""),"",IF(F333="Отменена",0,ROUND(I333*J333,2)))</f>
        <v/>
      </c>
      <c r="L333" s="15">
        <f>IF(K333="","",ROUND(K333*Настройки!$B$5,2))</f>
        <v/>
      </c>
      <c r="M333" s="15">
        <f>IF(A333="","",SUMIFS(Начисления!$M$2:$M$1000,Начисления!$F$2:$F$1000,A333))</f>
        <v/>
      </c>
      <c r="N333" s="15">
        <f>IF(A333="","",SUM(K333:M333))</f>
        <v/>
      </c>
      <c r="O333" s="14" t="n"/>
      <c r="P333" s="15">
        <f>IF(A333="","",N333-O333)</f>
        <v/>
      </c>
      <c r="Q333" s="10" t="n"/>
      <c r="R333" s="10" t="n"/>
      <c r="S333" s="16">
        <f>IF(ISNUMBER(D333),D333+TIME(3,0,0),"")</f>
        <v/>
      </c>
      <c r="T333" s="10" t="n"/>
      <c r="U333" s="17">
        <f>IF(OR(B333="",COUNT(D333:E333)&lt;2,E333&lt;D333,F333="Отменена"),0,MAX(0,MIN(E333,Сводка!$B$4)-MAX(D333,Сводка!$B$2)))</f>
        <v/>
      </c>
    </row>
    <row r="334">
      <c r="A334" s="9" t="n"/>
      <c r="B334" s="10" t="n"/>
      <c r="C334" s="10" t="n"/>
      <c r="D334" s="11" t="n"/>
      <c r="E334" s="11" t="n"/>
      <c r="F334" s="10" t="n"/>
      <c r="G334" s="12">
        <f>IF(B334="","",IF(OR(COUNT(D334:E334)&lt;2,E334&lt;D334),"Проверьте даты",IF(OR(F334="Отменена",F334="Возвращена"),"",IF(SUMPRODUCT(($B$2:$B$500=B334)*($D$2:$D$500&lt;=E334)*($E$2:$E$500&gt;=D334)*($F$2:$F$500&lt;&gt;"Отменена")*($F$2:$F$500&lt;&gt;"Возвращена"))&gt;1,"Пересечение","ОК"))))</f>
        <v/>
      </c>
      <c r="H334" s="12">
        <f>IF(OR(B334="",D334=""),"",IF(AND(OR(F334="Выдана",F334="Возвращена"),SUMPRODUCT(($B$2:$B$500=B334)*($D$2:$D$500=D334)*(($F$2:$F$500="Выдана")+($F$2:$F$500="Возвращена")))&gt;1),"Дубль",""))</f>
        <v/>
      </c>
      <c r="I334" s="13">
        <f>IF(OR(B334="",COUNT(D334:E334)&lt;2,E334&lt;D334),"",IF(Настройки!$B$6=Настройки!$M$3,INT(E334)-INT(D334)+1,ROUNDUP(ROUND((E334-D334)*24,2)/24,0)))</f>
        <v/>
      </c>
      <c r="J334" s="14" t="n"/>
      <c r="K334" s="15">
        <f>IF(OR(I334="",J334=""),"",IF(F334="Отменена",0,ROUND(I334*J334,2)))</f>
        <v/>
      </c>
      <c r="L334" s="15">
        <f>IF(K334="","",ROUND(K334*Настройки!$B$5,2))</f>
        <v/>
      </c>
      <c r="M334" s="15">
        <f>IF(A334="","",SUMIFS(Начисления!$M$2:$M$1000,Начисления!$F$2:$F$1000,A334))</f>
        <v/>
      </c>
      <c r="N334" s="15">
        <f>IF(A334="","",SUM(K334:M334))</f>
        <v/>
      </c>
      <c r="O334" s="14" t="n"/>
      <c r="P334" s="15">
        <f>IF(A334="","",N334-O334)</f>
        <v/>
      </c>
      <c r="Q334" s="10" t="n"/>
      <c r="R334" s="10" t="n"/>
      <c r="S334" s="16">
        <f>IF(ISNUMBER(D334),D334+TIME(3,0,0),"")</f>
        <v/>
      </c>
      <c r="T334" s="10" t="n"/>
      <c r="U334" s="17">
        <f>IF(OR(B334="",COUNT(D334:E334)&lt;2,E334&lt;D334,F334="Отменена"),0,MAX(0,MIN(E334,Сводка!$B$4)-MAX(D334,Сводка!$B$2)))</f>
        <v/>
      </c>
    </row>
    <row r="335">
      <c r="A335" s="9" t="n"/>
      <c r="B335" s="10" t="n"/>
      <c r="C335" s="10" t="n"/>
      <c r="D335" s="11" t="n"/>
      <c r="E335" s="11" t="n"/>
      <c r="F335" s="10" t="n"/>
      <c r="G335" s="12">
        <f>IF(B335="","",IF(OR(COUNT(D335:E335)&lt;2,E335&lt;D335),"Проверьте даты",IF(OR(F335="Отменена",F335="Возвращена"),"",IF(SUMPRODUCT(($B$2:$B$500=B335)*($D$2:$D$500&lt;=E335)*($E$2:$E$500&gt;=D335)*($F$2:$F$500&lt;&gt;"Отменена")*($F$2:$F$500&lt;&gt;"Возвращена"))&gt;1,"Пересечение","ОК"))))</f>
        <v/>
      </c>
      <c r="H335" s="12">
        <f>IF(OR(B335="",D335=""),"",IF(AND(OR(F335="Выдана",F335="Возвращена"),SUMPRODUCT(($B$2:$B$500=B335)*($D$2:$D$500=D335)*(($F$2:$F$500="Выдана")+($F$2:$F$500="Возвращена")))&gt;1),"Дубль",""))</f>
        <v/>
      </c>
      <c r="I335" s="13">
        <f>IF(OR(B335="",COUNT(D335:E335)&lt;2,E335&lt;D335),"",IF(Настройки!$B$6=Настройки!$M$3,INT(E335)-INT(D335)+1,ROUNDUP(ROUND((E335-D335)*24,2)/24,0)))</f>
        <v/>
      </c>
      <c r="J335" s="14" t="n"/>
      <c r="K335" s="15">
        <f>IF(OR(I335="",J335=""),"",IF(F335="Отменена",0,ROUND(I335*J335,2)))</f>
        <v/>
      </c>
      <c r="L335" s="15">
        <f>IF(K335="","",ROUND(K335*Настройки!$B$5,2))</f>
        <v/>
      </c>
      <c r="M335" s="15">
        <f>IF(A335="","",SUMIFS(Начисления!$M$2:$M$1000,Начисления!$F$2:$F$1000,A335))</f>
        <v/>
      </c>
      <c r="N335" s="15">
        <f>IF(A335="","",SUM(K335:M335))</f>
        <v/>
      </c>
      <c r="O335" s="14" t="n"/>
      <c r="P335" s="15">
        <f>IF(A335="","",N335-O335)</f>
        <v/>
      </c>
      <c r="Q335" s="10" t="n"/>
      <c r="R335" s="10" t="n"/>
      <c r="S335" s="16">
        <f>IF(ISNUMBER(D335),D335+TIME(3,0,0),"")</f>
        <v/>
      </c>
      <c r="T335" s="10" t="n"/>
      <c r="U335" s="17">
        <f>IF(OR(B335="",COUNT(D335:E335)&lt;2,E335&lt;D335,F335="Отменена"),0,MAX(0,MIN(E335,Сводка!$B$4)-MAX(D335,Сводка!$B$2)))</f>
        <v/>
      </c>
    </row>
    <row r="336">
      <c r="A336" s="9" t="n"/>
      <c r="B336" s="10" t="n"/>
      <c r="C336" s="10" t="n"/>
      <c r="D336" s="11" t="n"/>
      <c r="E336" s="11" t="n"/>
      <c r="F336" s="10" t="n"/>
      <c r="G336" s="12">
        <f>IF(B336="","",IF(OR(COUNT(D336:E336)&lt;2,E336&lt;D336),"Проверьте даты",IF(OR(F336="Отменена",F336="Возвращена"),"",IF(SUMPRODUCT(($B$2:$B$500=B336)*($D$2:$D$500&lt;=E336)*($E$2:$E$500&gt;=D336)*($F$2:$F$500&lt;&gt;"Отменена")*($F$2:$F$500&lt;&gt;"Возвращена"))&gt;1,"Пересечение","ОК"))))</f>
        <v/>
      </c>
      <c r="H336" s="12">
        <f>IF(OR(B336="",D336=""),"",IF(AND(OR(F336="Выдана",F336="Возвращена"),SUMPRODUCT(($B$2:$B$500=B336)*($D$2:$D$500=D336)*(($F$2:$F$500="Выдана")+($F$2:$F$500="Возвращена")))&gt;1),"Дубль",""))</f>
        <v/>
      </c>
      <c r="I336" s="13">
        <f>IF(OR(B336="",COUNT(D336:E336)&lt;2,E336&lt;D336),"",IF(Настройки!$B$6=Настройки!$M$3,INT(E336)-INT(D336)+1,ROUNDUP(ROUND((E336-D336)*24,2)/24,0)))</f>
        <v/>
      </c>
      <c r="J336" s="14" t="n"/>
      <c r="K336" s="15">
        <f>IF(OR(I336="",J336=""),"",IF(F336="Отменена",0,ROUND(I336*J336,2)))</f>
        <v/>
      </c>
      <c r="L336" s="15">
        <f>IF(K336="","",ROUND(K336*Настройки!$B$5,2))</f>
        <v/>
      </c>
      <c r="M336" s="15">
        <f>IF(A336="","",SUMIFS(Начисления!$M$2:$M$1000,Начисления!$F$2:$F$1000,A336))</f>
        <v/>
      </c>
      <c r="N336" s="15">
        <f>IF(A336="","",SUM(K336:M336))</f>
        <v/>
      </c>
      <c r="O336" s="14" t="n"/>
      <c r="P336" s="15">
        <f>IF(A336="","",N336-O336)</f>
        <v/>
      </c>
      <c r="Q336" s="10" t="n"/>
      <c r="R336" s="10" t="n"/>
      <c r="S336" s="16">
        <f>IF(ISNUMBER(D336),D336+TIME(3,0,0),"")</f>
        <v/>
      </c>
      <c r="T336" s="10" t="n"/>
      <c r="U336" s="17">
        <f>IF(OR(B336="",COUNT(D336:E336)&lt;2,E336&lt;D336,F336="Отменена"),0,MAX(0,MIN(E336,Сводка!$B$4)-MAX(D336,Сводка!$B$2)))</f>
        <v/>
      </c>
    </row>
    <row r="337">
      <c r="A337" s="9" t="n"/>
      <c r="B337" s="10" t="n"/>
      <c r="C337" s="10" t="n"/>
      <c r="D337" s="11" t="n"/>
      <c r="E337" s="11" t="n"/>
      <c r="F337" s="10" t="n"/>
      <c r="G337" s="12">
        <f>IF(B337="","",IF(OR(COUNT(D337:E337)&lt;2,E337&lt;D337),"Проверьте даты",IF(OR(F337="Отменена",F337="Возвращена"),"",IF(SUMPRODUCT(($B$2:$B$500=B337)*($D$2:$D$500&lt;=E337)*($E$2:$E$500&gt;=D337)*($F$2:$F$500&lt;&gt;"Отменена")*($F$2:$F$500&lt;&gt;"Возвращена"))&gt;1,"Пересечение","ОК"))))</f>
        <v/>
      </c>
      <c r="H337" s="12">
        <f>IF(OR(B337="",D337=""),"",IF(AND(OR(F337="Выдана",F337="Возвращена"),SUMPRODUCT(($B$2:$B$500=B337)*($D$2:$D$500=D337)*(($F$2:$F$500="Выдана")+($F$2:$F$500="Возвращена")))&gt;1),"Дубль",""))</f>
        <v/>
      </c>
      <c r="I337" s="13">
        <f>IF(OR(B337="",COUNT(D337:E337)&lt;2,E337&lt;D337),"",IF(Настройки!$B$6=Настройки!$M$3,INT(E337)-INT(D337)+1,ROUNDUP(ROUND((E337-D337)*24,2)/24,0)))</f>
        <v/>
      </c>
      <c r="J337" s="14" t="n"/>
      <c r="K337" s="15">
        <f>IF(OR(I337="",J337=""),"",IF(F337="Отменена",0,ROUND(I337*J337,2)))</f>
        <v/>
      </c>
      <c r="L337" s="15">
        <f>IF(K337="","",ROUND(K337*Настройки!$B$5,2))</f>
        <v/>
      </c>
      <c r="M337" s="15">
        <f>IF(A337="","",SUMIFS(Начисления!$M$2:$M$1000,Начисления!$F$2:$F$1000,A337))</f>
        <v/>
      </c>
      <c r="N337" s="15">
        <f>IF(A337="","",SUM(K337:M337))</f>
        <v/>
      </c>
      <c r="O337" s="14" t="n"/>
      <c r="P337" s="15">
        <f>IF(A337="","",N337-O337)</f>
        <v/>
      </c>
      <c r="Q337" s="10" t="n"/>
      <c r="R337" s="10" t="n"/>
      <c r="S337" s="16">
        <f>IF(ISNUMBER(D337),D337+TIME(3,0,0),"")</f>
        <v/>
      </c>
      <c r="T337" s="10" t="n"/>
      <c r="U337" s="17">
        <f>IF(OR(B337="",COUNT(D337:E337)&lt;2,E337&lt;D337,F337="Отменена"),0,MAX(0,MIN(E337,Сводка!$B$4)-MAX(D337,Сводка!$B$2)))</f>
        <v/>
      </c>
    </row>
    <row r="338">
      <c r="A338" s="9" t="n"/>
      <c r="B338" s="10" t="n"/>
      <c r="C338" s="10" t="n"/>
      <c r="D338" s="11" t="n"/>
      <c r="E338" s="11" t="n"/>
      <c r="F338" s="10" t="n"/>
      <c r="G338" s="12">
        <f>IF(B338="","",IF(OR(COUNT(D338:E338)&lt;2,E338&lt;D338),"Проверьте даты",IF(OR(F338="Отменена",F338="Возвращена"),"",IF(SUMPRODUCT(($B$2:$B$500=B338)*($D$2:$D$500&lt;=E338)*($E$2:$E$500&gt;=D338)*($F$2:$F$500&lt;&gt;"Отменена")*($F$2:$F$500&lt;&gt;"Возвращена"))&gt;1,"Пересечение","ОК"))))</f>
        <v/>
      </c>
      <c r="H338" s="12">
        <f>IF(OR(B338="",D338=""),"",IF(AND(OR(F338="Выдана",F338="Возвращена"),SUMPRODUCT(($B$2:$B$500=B338)*($D$2:$D$500=D338)*(($F$2:$F$500="Выдана")+($F$2:$F$500="Возвращена")))&gt;1),"Дубль",""))</f>
        <v/>
      </c>
      <c r="I338" s="13">
        <f>IF(OR(B338="",COUNT(D338:E338)&lt;2,E338&lt;D338),"",IF(Настройки!$B$6=Настройки!$M$3,INT(E338)-INT(D338)+1,ROUNDUP(ROUND((E338-D338)*24,2)/24,0)))</f>
        <v/>
      </c>
      <c r="J338" s="14" t="n"/>
      <c r="K338" s="15">
        <f>IF(OR(I338="",J338=""),"",IF(F338="Отменена",0,ROUND(I338*J338,2)))</f>
        <v/>
      </c>
      <c r="L338" s="15">
        <f>IF(K338="","",ROUND(K338*Настройки!$B$5,2))</f>
        <v/>
      </c>
      <c r="M338" s="15">
        <f>IF(A338="","",SUMIFS(Начисления!$M$2:$M$1000,Начисления!$F$2:$F$1000,A338))</f>
        <v/>
      </c>
      <c r="N338" s="15">
        <f>IF(A338="","",SUM(K338:M338))</f>
        <v/>
      </c>
      <c r="O338" s="14" t="n"/>
      <c r="P338" s="15">
        <f>IF(A338="","",N338-O338)</f>
        <v/>
      </c>
      <c r="Q338" s="10" t="n"/>
      <c r="R338" s="10" t="n"/>
      <c r="S338" s="16">
        <f>IF(ISNUMBER(D338),D338+TIME(3,0,0),"")</f>
        <v/>
      </c>
      <c r="T338" s="10" t="n"/>
      <c r="U338" s="17">
        <f>IF(OR(B338="",COUNT(D338:E338)&lt;2,E338&lt;D338,F338="Отменена"),0,MAX(0,MIN(E338,Сводка!$B$4)-MAX(D338,Сводка!$B$2)))</f>
        <v/>
      </c>
    </row>
    <row r="339">
      <c r="A339" s="9" t="n"/>
      <c r="B339" s="10" t="n"/>
      <c r="C339" s="10" t="n"/>
      <c r="D339" s="11" t="n"/>
      <c r="E339" s="11" t="n"/>
      <c r="F339" s="10" t="n"/>
      <c r="G339" s="12">
        <f>IF(B339="","",IF(OR(COUNT(D339:E339)&lt;2,E339&lt;D339),"Проверьте даты",IF(OR(F339="Отменена",F339="Возвращена"),"",IF(SUMPRODUCT(($B$2:$B$500=B339)*($D$2:$D$500&lt;=E339)*($E$2:$E$500&gt;=D339)*($F$2:$F$500&lt;&gt;"Отменена")*($F$2:$F$500&lt;&gt;"Возвращена"))&gt;1,"Пересечение","ОК"))))</f>
        <v/>
      </c>
      <c r="H339" s="12">
        <f>IF(OR(B339="",D339=""),"",IF(AND(OR(F339="Выдана",F339="Возвращена"),SUMPRODUCT(($B$2:$B$500=B339)*($D$2:$D$500=D339)*(($F$2:$F$500="Выдана")+($F$2:$F$500="Возвращена")))&gt;1),"Дубль",""))</f>
        <v/>
      </c>
      <c r="I339" s="13">
        <f>IF(OR(B339="",COUNT(D339:E339)&lt;2,E339&lt;D339),"",IF(Настройки!$B$6=Настройки!$M$3,INT(E339)-INT(D339)+1,ROUNDUP(ROUND((E339-D339)*24,2)/24,0)))</f>
        <v/>
      </c>
      <c r="J339" s="14" t="n"/>
      <c r="K339" s="15">
        <f>IF(OR(I339="",J339=""),"",IF(F339="Отменена",0,ROUND(I339*J339,2)))</f>
        <v/>
      </c>
      <c r="L339" s="15">
        <f>IF(K339="","",ROUND(K339*Настройки!$B$5,2))</f>
        <v/>
      </c>
      <c r="M339" s="15">
        <f>IF(A339="","",SUMIFS(Начисления!$M$2:$M$1000,Начисления!$F$2:$F$1000,A339))</f>
        <v/>
      </c>
      <c r="N339" s="15">
        <f>IF(A339="","",SUM(K339:M339))</f>
        <v/>
      </c>
      <c r="O339" s="14" t="n"/>
      <c r="P339" s="15">
        <f>IF(A339="","",N339-O339)</f>
        <v/>
      </c>
      <c r="Q339" s="10" t="n"/>
      <c r="R339" s="10" t="n"/>
      <c r="S339" s="16">
        <f>IF(ISNUMBER(D339),D339+TIME(3,0,0),"")</f>
        <v/>
      </c>
      <c r="T339" s="10" t="n"/>
      <c r="U339" s="17">
        <f>IF(OR(B339="",COUNT(D339:E339)&lt;2,E339&lt;D339,F339="Отменена"),0,MAX(0,MIN(E339,Сводка!$B$4)-MAX(D339,Сводка!$B$2)))</f>
        <v/>
      </c>
    </row>
    <row r="340">
      <c r="A340" s="9" t="n"/>
      <c r="B340" s="10" t="n"/>
      <c r="C340" s="10" t="n"/>
      <c r="D340" s="11" t="n"/>
      <c r="E340" s="11" t="n"/>
      <c r="F340" s="10" t="n"/>
      <c r="G340" s="12">
        <f>IF(B340="","",IF(OR(COUNT(D340:E340)&lt;2,E340&lt;D340),"Проверьте даты",IF(OR(F340="Отменена",F340="Возвращена"),"",IF(SUMPRODUCT(($B$2:$B$500=B340)*($D$2:$D$500&lt;=E340)*($E$2:$E$500&gt;=D340)*($F$2:$F$500&lt;&gt;"Отменена")*($F$2:$F$500&lt;&gt;"Возвращена"))&gt;1,"Пересечение","ОК"))))</f>
        <v/>
      </c>
      <c r="H340" s="12">
        <f>IF(OR(B340="",D340=""),"",IF(AND(OR(F340="Выдана",F340="Возвращена"),SUMPRODUCT(($B$2:$B$500=B340)*($D$2:$D$500=D340)*(($F$2:$F$500="Выдана")+($F$2:$F$500="Возвращена")))&gt;1),"Дубль",""))</f>
        <v/>
      </c>
      <c r="I340" s="13">
        <f>IF(OR(B340="",COUNT(D340:E340)&lt;2,E340&lt;D340),"",IF(Настройки!$B$6=Настройки!$M$3,INT(E340)-INT(D340)+1,ROUNDUP(ROUND((E340-D340)*24,2)/24,0)))</f>
        <v/>
      </c>
      <c r="J340" s="14" t="n"/>
      <c r="K340" s="15">
        <f>IF(OR(I340="",J340=""),"",IF(F340="Отменена",0,ROUND(I340*J340,2)))</f>
        <v/>
      </c>
      <c r="L340" s="15">
        <f>IF(K340="","",ROUND(K340*Настройки!$B$5,2))</f>
        <v/>
      </c>
      <c r="M340" s="15">
        <f>IF(A340="","",SUMIFS(Начисления!$M$2:$M$1000,Начисления!$F$2:$F$1000,A340))</f>
        <v/>
      </c>
      <c r="N340" s="15">
        <f>IF(A340="","",SUM(K340:M340))</f>
        <v/>
      </c>
      <c r="O340" s="14" t="n"/>
      <c r="P340" s="15">
        <f>IF(A340="","",N340-O340)</f>
        <v/>
      </c>
      <c r="Q340" s="10" t="n"/>
      <c r="R340" s="10" t="n"/>
      <c r="S340" s="16">
        <f>IF(ISNUMBER(D340),D340+TIME(3,0,0),"")</f>
        <v/>
      </c>
      <c r="T340" s="10" t="n"/>
      <c r="U340" s="17">
        <f>IF(OR(B340="",COUNT(D340:E340)&lt;2,E340&lt;D340,F340="Отменена"),0,MAX(0,MIN(E340,Сводка!$B$4)-MAX(D340,Сводка!$B$2)))</f>
        <v/>
      </c>
    </row>
    <row r="341">
      <c r="A341" s="9" t="n"/>
      <c r="B341" s="10" t="n"/>
      <c r="C341" s="10" t="n"/>
      <c r="D341" s="11" t="n"/>
      <c r="E341" s="11" t="n"/>
      <c r="F341" s="10" t="n"/>
      <c r="G341" s="12">
        <f>IF(B341="","",IF(OR(COUNT(D341:E341)&lt;2,E341&lt;D341),"Проверьте даты",IF(OR(F341="Отменена",F341="Возвращена"),"",IF(SUMPRODUCT(($B$2:$B$500=B341)*($D$2:$D$500&lt;=E341)*($E$2:$E$500&gt;=D341)*($F$2:$F$500&lt;&gt;"Отменена")*($F$2:$F$500&lt;&gt;"Возвращена"))&gt;1,"Пересечение","ОК"))))</f>
        <v/>
      </c>
      <c r="H341" s="12">
        <f>IF(OR(B341="",D341=""),"",IF(AND(OR(F341="Выдана",F341="Возвращена"),SUMPRODUCT(($B$2:$B$500=B341)*($D$2:$D$500=D341)*(($F$2:$F$500="Выдана")+($F$2:$F$500="Возвращена")))&gt;1),"Дубль",""))</f>
        <v/>
      </c>
      <c r="I341" s="13">
        <f>IF(OR(B341="",COUNT(D341:E341)&lt;2,E341&lt;D341),"",IF(Настройки!$B$6=Настройки!$M$3,INT(E341)-INT(D341)+1,ROUNDUP(ROUND((E341-D341)*24,2)/24,0)))</f>
        <v/>
      </c>
      <c r="J341" s="14" t="n"/>
      <c r="K341" s="15">
        <f>IF(OR(I341="",J341=""),"",IF(F341="Отменена",0,ROUND(I341*J341,2)))</f>
        <v/>
      </c>
      <c r="L341" s="15">
        <f>IF(K341="","",ROUND(K341*Настройки!$B$5,2))</f>
        <v/>
      </c>
      <c r="M341" s="15">
        <f>IF(A341="","",SUMIFS(Начисления!$M$2:$M$1000,Начисления!$F$2:$F$1000,A341))</f>
        <v/>
      </c>
      <c r="N341" s="15">
        <f>IF(A341="","",SUM(K341:M341))</f>
        <v/>
      </c>
      <c r="O341" s="14" t="n"/>
      <c r="P341" s="15">
        <f>IF(A341="","",N341-O341)</f>
        <v/>
      </c>
      <c r="Q341" s="10" t="n"/>
      <c r="R341" s="10" t="n"/>
      <c r="S341" s="16">
        <f>IF(ISNUMBER(D341),D341+TIME(3,0,0),"")</f>
        <v/>
      </c>
      <c r="T341" s="10" t="n"/>
      <c r="U341" s="17">
        <f>IF(OR(B341="",COUNT(D341:E341)&lt;2,E341&lt;D341,F341="Отменена"),0,MAX(0,MIN(E341,Сводка!$B$4)-MAX(D341,Сводка!$B$2)))</f>
        <v/>
      </c>
    </row>
    <row r="342">
      <c r="A342" s="9" t="n"/>
      <c r="B342" s="10" t="n"/>
      <c r="C342" s="10" t="n"/>
      <c r="D342" s="11" t="n"/>
      <c r="E342" s="11" t="n"/>
      <c r="F342" s="10" t="n"/>
      <c r="G342" s="12">
        <f>IF(B342="","",IF(OR(COUNT(D342:E342)&lt;2,E342&lt;D342),"Проверьте даты",IF(OR(F342="Отменена",F342="Возвращена"),"",IF(SUMPRODUCT(($B$2:$B$500=B342)*($D$2:$D$500&lt;=E342)*($E$2:$E$500&gt;=D342)*($F$2:$F$500&lt;&gt;"Отменена")*($F$2:$F$500&lt;&gt;"Возвращена"))&gt;1,"Пересечение","ОК"))))</f>
        <v/>
      </c>
      <c r="H342" s="12">
        <f>IF(OR(B342="",D342=""),"",IF(AND(OR(F342="Выдана",F342="Возвращена"),SUMPRODUCT(($B$2:$B$500=B342)*($D$2:$D$500=D342)*(($F$2:$F$500="Выдана")+($F$2:$F$500="Возвращена")))&gt;1),"Дубль",""))</f>
        <v/>
      </c>
      <c r="I342" s="13">
        <f>IF(OR(B342="",COUNT(D342:E342)&lt;2,E342&lt;D342),"",IF(Настройки!$B$6=Настройки!$M$3,INT(E342)-INT(D342)+1,ROUNDUP(ROUND((E342-D342)*24,2)/24,0)))</f>
        <v/>
      </c>
      <c r="J342" s="14" t="n"/>
      <c r="K342" s="15">
        <f>IF(OR(I342="",J342=""),"",IF(F342="Отменена",0,ROUND(I342*J342,2)))</f>
        <v/>
      </c>
      <c r="L342" s="15">
        <f>IF(K342="","",ROUND(K342*Настройки!$B$5,2))</f>
        <v/>
      </c>
      <c r="M342" s="15">
        <f>IF(A342="","",SUMIFS(Начисления!$M$2:$M$1000,Начисления!$F$2:$F$1000,A342))</f>
        <v/>
      </c>
      <c r="N342" s="15">
        <f>IF(A342="","",SUM(K342:M342))</f>
        <v/>
      </c>
      <c r="O342" s="14" t="n"/>
      <c r="P342" s="15">
        <f>IF(A342="","",N342-O342)</f>
        <v/>
      </c>
      <c r="Q342" s="10" t="n"/>
      <c r="R342" s="10" t="n"/>
      <c r="S342" s="16">
        <f>IF(ISNUMBER(D342),D342+TIME(3,0,0),"")</f>
        <v/>
      </c>
      <c r="T342" s="10" t="n"/>
      <c r="U342" s="17">
        <f>IF(OR(B342="",COUNT(D342:E342)&lt;2,E342&lt;D342,F342="Отменена"),0,MAX(0,MIN(E342,Сводка!$B$4)-MAX(D342,Сводка!$B$2)))</f>
        <v/>
      </c>
    </row>
    <row r="343">
      <c r="A343" s="9" t="n"/>
      <c r="B343" s="10" t="n"/>
      <c r="C343" s="10" t="n"/>
      <c r="D343" s="11" t="n"/>
      <c r="E343" s="11" t="n"/>
      <c r="F343" s="10" t="n"/>
      <c r="G343" s="12">
        <f>IF(B343="","",IF(OR(COUNT(D343:E343)&lt;2,E343&lt;D343),"Проверьте даты",IF(OR(F343="Отменена",F343="Возвращена"),"",IF(SUMPRODUCT(($B$2:$B$500=B343)*($D$2:$D$500&lt;=E343)*($E$2:$E$500&gt;=D343)*($F$2:$F$500&lt;&gt;"Отменена")*($F$2:$F$500&lt;&gt;"Возвращена"))&gt;1,"Пересечение","ОК"))))</f>
        <v/>
      </c>
      <c r="H343" s="12">
        <f>IF(OR(B343="",D343=""),"",IF(AND(OR(F343="Выдана",F343="Возвращена"),SUMPRODUCT(($B$2:$B$500=B343)*($D$2:$D$500=D343)*(($F$2:$F$500="Выдана")+($F$2:$F$500="Возвращена")))&gt;1),"Дубль",""))</f>
        <v/>
      </c>
      <c r="I343" s="13">
        <f>IF(OR(B343="",COUNT(D343:E343)&lt;2,E343&lt;D343),"",IF(Настройки!$B$6=Настройки!$M$3,INT(E343)-INT(D343)+1,ROUNDUP(ROUND((E343-D343)*24,2)/24,0)))</f>
        <v/>
      </c>
      <c r="J343" s="14" t="n"/>
      <c r="K343" s="15">
        <f>IF(OR(I343="",J343=""),"",IF(F343="Отменена",0,ROUND(I343*J343,2)))</f>
        <v/>
      </c>
      <c r="L343" s="15">
        <f>IF(K343="","",ROUND(K343*Настройки!$B$5,2))</f>
        <v/>
      </c>
      <c r="M343" s="15">
        <f>IF(A343="","",SUMIFS(Начисления!$M$2:$M$1000,Начисления!$F$2:$F$1000,A343))</f>
        <v/>
      </c>
      <c r="N343" s="15">
        <f>IF(A343="","",SUM(K343:M343))</f>
        <v/>
      </c>
      <c r="O343" s="14" t="n"/>
      <c r="P343" s="15">
        <f>IF(A343="","",N343-O343)</f>
        <v/>
      </c>
      <c r="Q343" s="10" t="n"/>
      <c r="R343" s="10" t="n"/>
      <c r="S343" s="16">
        <f>IF(ISNUMBER(D343),D343+TIME(3,0,0),"")</f>
        <v/>
      </c>
      <c r="T343" s="10" t="n"/>
      <c r="U343" s="17">
        <f>IF(OR(B343="",COUNT(D343:E343)&lt;2,E343&lt;D343,F343="Отменена"),0,MAX(0,MIN(E343,Сводка!$B$4)-MAX(D343,Сводка!$B$2)))</f>
        <v/>
      </c>
    </row>
    <row r="344">
      <c r="A344" s="9" t="n"/>
      <c r="B344" s="10" t="n"/>
      <c r="C344" s="10" t="n"/>
      <c r="D344" s="11" t="n"/>
      <c r="E344" s="11" t="n"/>
      <c r="F344" s="10" t="n"/>
      <c r="G344" s="12">
        <f>IF(B344="","",IF(OR(COUNT(D344:E344)&lt;2,E344&lt;D344),"Проверьте даты",IF(OR(F344="Отменена",F344="Возвращена"),"",IF(SUMPRODUCT(($B$2:$B$500=B344)*($D$2:$D$500&lt;=E344)*($E$2:$E$500&gt;=D344)*($F$2:$F$500&lt;&gt;"Отменена")*($F$2:$F$500&lt;&gt;"Возвращена"))&gt;1,"Пересечение","ОК"))))</f>
        <v/>
      </c>
      <c r="H344" s="12">
        <f>IF(OR(B344="",D344=""),"",IF(AND(OR(F344="Выдана",F344="Возвращена"),SUMPRODUCT(($B$2:$B$500=B344)*($D$2:$D$500=D344)*(($F$2:$F$500="Выдана")+($F$2:$F$500="Возвращена")))&gt;1),"Дубль",""))</f>
        <v/>
      </c>
      <c r="I344" s="13">
        <f>IF(OR(B344="",COUNT(D344:E344)&lt;2,E344&lt;D344),"",IF(Настройки!$B$6=Настройки!$M$3,INT(E344)-INT(D344)+1,ROUNDUP(ROUND((E344-D344)*24,2)/24,0)))</f>
        <v/>
      </c>
      <c r="J344" s="14" t="n"/>
      <c r="K344" s="15">
        <f>IF(OR(I344="",J344=""),"",IF(F344="Отменена",0,ROUND(I344*J344,2)))</f>
        <v/>
      </c>
      <c r="L344" s="15">
        <f>IF(K344="","",ROUND(K344*Настройки!$B$5,2))</f>
        <v/>
      </c>
      <c r="M344" s="15">
        <f>IF(A344="","",SUMIFS(Начисления!$M$2:$M$1000,Начисления!$F$2:$F$1000,A344))</f>
        <v/>
      </c>
      <c r="N344" s="15">
        <f>IF(A344="","",SUM(K344:M344))</f>
        <v/>
      </c>
      <c r="O344" s="14" t="n"/>
      <c r="P344" s="15">
        <f>IF(A344="","",N344-O344)</f>
        <v/>
      </c>
      <c r="Q344" s="10" t="n"/>
      <c r="R344" s="10" t="n"/>
      <c r="S344" s="16">
        <f>IF(ISNUMBER(D344),D344+TIME(3,0,0),"")</f>
        <v/>
      </c>
      <c r="T344" s="10" t="n"/>
      <c r="U344" s="17">
        <f>IF(OR(B344="",COUNT(D344:E344)&lt;2,E344&lt;D344,F344="Отменена"),0,MAX(0,MIN(E344,Сводка!$B$4)-MAX(D344,Сводка!$B$2)))</f>
        <v/>
      </c>
    </row>
    <row r="345">
      <c r="A345" s="9" t="n"/>
      <c r="B345" s="10" t="n"/>
      <c r="C345" s="10" t="n"/>
      <c r="D345" s="11" t="n"/>
      <c r="E345" s="11" t="n"/>
      <c r="F345" s="10" t="n"/>
      <c r="G345" s="12">
        <f>IF(B345="","",IF(OR(COUNT(D345:E345)&lt;2,E345&lt;D345),"Проверьте даты",IF(OR(F345="Отменена",F345="Возвращена"),"",IF(SUMPRODUCT(($B$2:$B$500=B345)*($D$2:$D$500&lt;=E345)*($E$2:$E$500&gt;=D345)*($F$2:$F$500&lt;&gt;"Отменена")*($F$2:$F$500&lt;&gt;"Возвращена"))&gt;1,"Пересечение","ОК"))))</f>
        <v/>
      </c>
      <c r="H345" s="12">
        <f>IF(OR(B345="",D345=""),"",IF(AND(OR(F345="Выдана",F345="Возвращена"),SUMPRODUCT(($B$2:$B$500=B345)*($D$2:$D$500=D345)*(($F$2:$F$500="Выдана")+($F$2:$F$500="Возвращена")))&gt;1),"Дубль",""))</f>
        <v/>
      </c>
      <c r="I345" s="13">
        <f>IF(OR(B345="",COUNT(D345:E345)&lt;2,E345&lt;D345),"",IF(Настройки!$B$6=Настройки!$M$3,INT(E345)-INT(D345)+1,ROUNDUP(ROUND((E345-D345)*24,2)/24,0)))</f>
        <v/>
      </c>
      <c r="J345" s="14" t="n"/>
      <c r="K345" s="15">
        <f>IF(OR(I345="",J345=""),"",IF(F345="Отменена",0,ROUND(I345*J345,2)))</f>
        <v/>
      </c>
      <c r="L345" s="15">
        <f>IF(K345="","",ROUND(K345*Настройки!$B$5,2))</f>
        <v/>
      </c>
      <c r="M345" s="15">
        <f>IF(A345="","",SUMIFS(Начисления!$M$2:$M$1000,Начисления!$F$2:$F$1000,A345))</f>
        <v/>
      </c>
      <c r="N345" s="15">
        <f>IF(A345="","",SUM(K345:M345))</f>
        <v/>
      </c>
      <c r="O345" s="14" t="n"/>
      <c r="P345" s="15">
        <f>IF(A345="","",N345-O345)</f>
        <v/>
      </c>
      <c r="Q345" s="10" t="n"/>
      <c r="R345" s="10" t="n"/>
      <c r="S345" s="16">
        <f>IF(ISNUMBER(D345),D345+TIME(3,0,0),"")</f>
        <v/>
      </c>
      <c r="T345" s="10" t="n"/>
      <c r="U345" s="17">
        <f>IF(OR(B345="",COUNT(D345:E345)&lt;2,E345&lt;D345,F345="Отменена"),0,MAX(0,MIN(E345,Сводка!$B$4)-MAX(D345,Сводка!$B$2)))</f>
        <v/>
      </c>
    </row>
    <row r="346">
      <c r="A346" s="9" t="n"/>
      <c r="B346" s="10" t="n"/>
      <c r="C346" s="10" t="n"/>
      <c r="D346" s="11" t="n"/>
      <c r="E346" s="11" t="n"/>
      <c r="F346" s="10" t="n"/>
      <c r="G346" s="12">
        <f>IF(B346="","",IF(OR(COUNT(D346:E346)&lt;2,E346&lt;D346),"Проверьте даты",IF(OR(F346="Отменена",F346="Возвращена"),"",IF(SUMPRODUCT(($B$2:$B$500=B346)*($D$2:$D$500&lt;=E346)*($E$2:$E$500&gt;=D346)*($F$2:$F$500&lt;&gt;"Отменена")*($F$2:$F$500&lt;&gt;"Возвращена"))&gt;1,"Пересечение","ОК"))))</f>
        <v/>
      </c>
      <c r="H346" s="12">
        <f>IF(OR(B346="",D346=""),"",IF(AND(OR(F346="Выдана",F346="Возвращена"),SUMPRODUCT(($B$2:$B$500=B346)*($D$2:$D$500=D346)*(($F$2:$F$500="Выдана")+($F$2:$F$500="Возвращена")))&gt;1),"Дубль",""))</f>
        <v/>
      </c>
      <c r="I346" s="13">
        <f>IF(OR(B346="",COUNT(D346:E346)&lt;2,E346&lt;D346),"",IF(Настройки!$B$6=Настройки!$M$3,INT(E346)-INT(D346)+1,ROUNDUP(ROUND((E346-D346)*24,2)/24,0)))</f>
        <v/>
      </c>
      <c r="J346" s="14" t="n"/>
      <c r="K346" s="15">
        <f>IF(OR(I346="",J346=""),"",IF(F346="Отменена",0,ROUND(I346*J346,2)))</f>
        <v/>
      </c>
      <c r="L346" s="15">
        <f>IF(K346="","",ROUND(K346*Настройки!$B$5,2))</f>
        <v/>
      </c>
      <c r="M346" s="15">
        <f>IF(A346="","",SUMIFS(Начисления!$M$2:$M$1000,Начисления!$F$2:$F$1000,A346))</f>
        <v/>
      </c>
      <c r="N346" s="15">
        <f>IF(A346="","",SUM(K346:M346))</f>
        <v/>
      </c>
      <c r="O346" s="14" t="n"/>
      <c r="P346" s="15">
        <f>IF(A346="","",N346-O346)</f>
        <v/>
      </c>
      <c r="Q346" s="10" t="n"/>
      <c r="R346" s="10" t="n"/>
      <c r="S346" s="16">
        <f>IF(ISNUMBER(D346),D346+TIME(3,0,0),"")</f>
        <v/>
      </c>
      <c r="T346" s="10" t="n"/>
      <c r="U346" s="17">
        <f>IF(OR(B346="",COUNT(D346:E346)&lt;2,E346&lt;D346,F346="Отменена"),0,MAX(0,MIN(E346,Сводка!$B$4)-MAX(D346,Сводка!$B$2)))</f>
        <v/>
      </c>
    </row>
    <row r="347">
      <c r="A347" s="9" t="n"/>
      <c r="B347" s="10" t="n"/>
      <c r="C347" s="10" t="n"/>
      <c r="D347" s="11" t="n"/>
      <c r="E347" s="11" t="n"/>
      <c r="F347" s="10" t="n"/>
      <c r="G347" s="12">
        <f>IF(B347="","",IF(OR(COUNT(D347:E347)&lt;2,E347&lt;D347),"Проверьте даты",IF(OR(F347="Отменена",F347="Возвращена"),"",IF(SUMPRODUCT(($B$2:$B$500=B347)*($D$2:$D$500&lt;=E347)*($E$2:$E$500&gt;=D347)*($F$2:$F$500&lt;&gt;"Отменена")*($F$2:$F$500&lt;&gt;"Возвращена"))&gt;1,"Пересечение","ОК"))))</f>
        <v/>
      </c>
      <c r="H347" s="12">
        <f>IF(OR(B347="",D347=""),"",IF(AND(OR(F347="Выдана",F347="Возвращена"),SUMPRODUCT(($B$2:$B$500=B347)*($D$2:$D$500=D347)*(($F$2:$F$500="Выдана")+($F$2:$F$500="Возвращена")))&gt;1),"Дубль",""))</f>
        <v/>
      </c>
      <c r="I347" s="13">
        <f>IF(OR(B347="",COUNT(D347:E347)&lt;2,E347&lt;D347),"",IF(Настройки!$B$6=Настройки!$M$3,INT(E347)-INT(D347)+1,ROUNDUP(ROUND((E347-D347)*24,2)/24,0)))</f>
        <v/>
      </c>
      <c r="J347" s="14" t="n"/>
      <c r="K347" s="15">
        <f>IF(OR(I347="",J347=""),"",IF(F347="Отменена",0,ROUND(I347*J347,2)))</f>
        <v/>
      </c>
      <c r="L347" s="15">
        <f>IF(K347="","",ROUND(K347*Настройки!$B$5,2))</f>
        <v/>
      </c>
      <c r="M347" s="15">
        <f>IF(A347="","",SUMIFS(Начисления!$M$2:$M$1000,Начисления!$F$2:$F$1000,A347))</f>
        <v/>
      </c>
      <c r="N347" s="15">
        <f>IF(A347="","",SUM(K347:M347))</f>
        <v/>
      </c>
      <c r="O347" s="14" t="n"/>
      <c r="P347" s="15">
        <f>IF(A347="","",N347-O347)</f>
        <v/>
      </c>
      <c r="Q347" s="10" t="n"/>
      <c r="R347" s="10" t="n"/>
      <c r="S347" s="16">
        <f>IF(ISNUMBER(D347),D347+TIME(3,0,0),"")</f>
        <v/>
      </c>
      <c r="T347" s="10" t="n"/>
      <c r="U347" s="17">
        <f>IF(OR(B347="",COUNT(D347:E347)&lt;2,E347&lt;D347,F347="Отменена"),0,MAX(0,MIN(E347,Сводка!$B$4)-MAX(D347,Сводка!$B$2)))</f>
        <v/>
      </c>
    </row>
    <row r="348">
      <c r="A348" s="9" t="n"/>
      <c r="B348" s="10" t="n"/>
      <c r="C348" s="10" t="n"/>
      <c r="D348" s="11" t="n"/>
      <c r="E348" s="11" t="n"/>
      <c r="F348" s="10" t="n"/>
      <c r="G348" s="12">
        <f>IF(B348="","",IF(OR(COUNT(D348:E348)&lt;2,E348&lt;D348),"Проверьте даты",IF(OR(F348="Отменена",F348="Возвращена"),"",IF(SUMPRODUCT(($B$2:$B$500=B348)*($D$2:$D$500&lt;=E348)*($E$2:$E$500&gt;=D348)*($F$2:$F$500&lt;&gt;"Отменена")*($F$2:$F$500&lt;&gt;"Возвращена"))&gt;1,"Пересечение","ОК"))))</f>
        <v/>
      </c>
      <c r="H348" s="12">
        <f>IF(OR(B348="",D348=""),"",IF(AND(OR(F348="Выдана",F348="Возвращена"),SUMPRODUCT(($B$2:$B$500=B348)*($D$2:$D$500=D348)*(($F$2:$F$500="Выдана")+($F$2:$F$500="Возвращена")))&gt;1),"Дубль",""))</f>
        <v/>
      </c>
      <c r="I348" s="13">
        <f>IF(OR(B348="",COUNT(D348:E348)&lt;2,E348&lt;D348),"",IF(Настройки!$B$6=Настройки!$M$3,INT(E348)-INT(D348)+1,ROUNDUP(ROUND((E348-D348)*24,2)/24,0)))</f>
        <v/>
      </c>
      <c r="J348" s="14" t="n"/>
      <c r="K348" s="15">
        <f>IF(OR(I348="",J348=""),"",IF(F348="Отменена",0,ROUND(I348*J348,2)))</f>
        <v/>
      </c>
      <c r="L348" s="15">
        <f>IF(K348="","",ROUND(K348*Настройки!$B$5,2))</f>
        <v/>
      </c>
      <c r="M348" s="15">
        <f>IF(A348="","",SUMIFS(Начисления!$M$2:$M$1000,Начисления!$F$2:$F$1000,A348))</f>
        <v/>
      </c>
      <c r="N348" s="15">
        <f>IF(A348="","",SUM(K348:M348))</f>
        <v/>
      </c>
      <c r="O348" s="14" t="n"/>
      <c r="P348" s="15">
        <f>IF(A348="","",N348-O348)</f>
        <v/>
      </c>
      <c r="Q348" s="10" t="n"/>
      <c r="R348" s="10" t="n"/>
      <c r="S348" s="16">
        <f>IF(ISNUMBER(D348),D348+TIME(3,0,0),"")</f>
        <v/>
      </c>
      <c r="T348" s="10" t="n"/>
      <c r="U348" s="17">
        <f>IF(OR(B348="",COUNT(D348:E348)&lt;2,E348&lt;D348,F348="Отменена"),0,MAX(0,MIN(E348,Сводка!$B$4)-MAX(D348,Сводка!$B$2)))</f>
        <v/>
      </c>
    </row>
    <row r="349">
      <c r="A349" s="9" t="n"/>
      <c r="B349" s="10" t="n"/>
      <c r="C349" s="10" t="n"/>
      <c r="D349" s="11" t="n"/>
      <c r="E349" s="11" t="n"/>
      <c r="F349" s="10" t="n"/>
      <c r="G349" s="12">
        <f>IF(B349="","",IF(OR(COUNT(D349:E349)&lt;2,E349&lt;D349),"Проверьте даты",IF(OR(F349="Отменена",F349="Возвращена"),"",IF(SUMPRODUCT(($B$2:$B$500=B349)*($D$2:$D$500&lt;=E349)*($E$2:$E$500&gt;=D349)*($F$2:$F$500&lt;&gt;"Отменена")*($F$2:$F$500&lt;&gt;"Возвращена"))&gt;1,"Пересечение","ОК"))))</f>
        <v/>
      </c>
      <c r="H349" s="12">
        <f>IF(OR(B349="",D349=""),"",IF(AND(OR(F349="Выдана",F349="Возвращена"),SUMPRODUCT(($B$2:$B$500=B349)*($D$2:$D$500=D349)*(($F$2:$F$500="Выдана")+($F$2:$F$500="Возвращена")))&gt;1),"Дубль",""))</f>
        <v/>
      </c>
      <c r="I349" s="13">
        <f>IF(OR(B349="",COUNT(D349:E349)&lt;2,E349&lt;D349),"",IF(Настройки!$B$6=Настройки!$M$3,INT(E349)-INT(D349)+1,ROUNDUP(ROUND((E349-D349)*24,2)/24,0)))</f>
        <v/>
      </c>
      <c r="J349" s="14" t="n"/>
      <c r="K349" s="15">
        <f>IF(OR(I349="",J349=""),"",IF(F349="Отменена",0,ROUND(I349*J349,2)))</f>
        <v/>
      </c>
      <c r="L349" s="15">
        <f>IF(K349="","",ROUND(K349*Настройки!$B$5,2))</f>
        <v/>
      </c>
      <c r="M349" s="15">
        <f>IF(A349="","",SUMIFS(Начисления!$M$2:$M$1000,Начисления!$F$2:$F$1000,A349))</f>
        <v/>
      </c>
      <c r="N349" s="15">
        <f>IF(A349="","",SUM(K349:M349))</f>
        <v/>
      </c>
      <c r="O349" s="14" t="n"/>
      <c r="P349" s="15">
        <f>IF(A349="","",N349-O349)</f>
        <v/>
      </c>
      <c r="Q349" s="10" t="n"/>
      <c r="R349" s="10" t="n"/>
      <c r="S349" s="16">
        <f>IF(ISNUMBER(D349),D349+TIME(3,0,0),"")</f>
        <v/>
      </c>
      <c r="T349" s="10" t="n"/>
      <c r="U349" s="17">
        <f>IF(OR(B349="",COUNT(D349:E349)&lt;2,E349&lt;D349,F349="Отменена"),0,MAX(0,MIN(E349,Сводка!$B$4)-MAX(D349,Сводка!$B$2)))</f>
        <v/>
      </c>
    </row>
    <row r="350">
      <c r="A350" s="9" t="n"/>
      <c r="B350" s="10" t="n"/>
      <c r="C350" s="10" t="n"/>
      <c r="D350" s="11" t="n"/>
      <c r="E350" s="11" t="n"/>
      <c r="F350" s="10" t="n"/>
      <c r="G350" s="12">
        <f>IF(B350="","",IF(OR(COUNT(D350:E350)&lt;2,E350&lt;D350),"Проверьте даты",IF(OR(F350="Отменена",F350="Возвращена"),"",IF(SUMPRODUCT(($B$2:$B$500=B350)*($D$2:$D$500&lt;=E350)*($E$2:$E$500&gt;=D350)*($F$2:$F$500&lt;&gt;"Отменена")*($F$2:$F$500&lt;&gt;"Возвращена"))&gt;1,"Пересечение","ОК"))))</f>
        <v/>
      </c>
      <c r="H350" s="12">
        <f>IF(OR(B350="",D350=""),"",IF(AND(OR(F350="Выдана",F350="Возвращена"),SUMPRODUCT(($B$2:$B$500=B350)*($D$2:$D$500=D350)*(($F$2:$F$500="Выдана")+($F$2:$F$500="Возвращена")))&gt;1),"Дубль",""))</f>
        <v/>
      </c>
      <c r="I350" s="13">
        <f>IF(OR(B350="",COUNT(D350:E350)&lt;2,E350&lt;D350),"",IF(Настройки!$B$6=Настройки!$M$3,INT(E350)-INT(D350)+1,ROUNDUP(ROUND((E350-D350)*24,2)/24,0)))</f>
        <v/>
      </c>
      <c r="J350" s="14" t="n"/>
      <c r="K350" s="15">
        <f>IF(OR(I350="",J350=""),"",IF(F350="Отменена",0,ROUND(I350*J350,2)))</f>
        <v/>
      </c>
      <c r="L350" s="15">
        <f>IF(K350="","",ROUND(K350*Настройки!$B$5,2))</f>
        <v/>
      </c>
      <c r="M350" s="15">
        <f>IF(A350="","",SUMIFS(Начисления!$M$2:$M$1000,Начисления!$F$2:$F$1000,A350))</f>
        <v/>
      </c>
      <c r="N350" s="15">
        <f>IF(A350="","",SUM(K350:M350))</f>
        <v/>
      </c>
      <c r="O350" s="14" t="n"/>
      <c r="P350" s="15">
        <f>IF(A350="","",N350-O350)</f>
        <v/>
      </c>
      <c r="Q350" s="10" t="n"/>
      <c r="R350" s="10" t="n"/>
      <c r="S350" s="16">
        <f>IF(ISNUMBER(D350),D350+TIME(3,0,0),"")</f>
        <v/>
      </c>
      <c r="T350" s="10" t="n"/>
      <c r="U350" s="17">
        <f>IF(OR(B350="",COUNT(D350:E350)&lt;2,E350&lt;D350,F350="Отменена"),0,MAX(0,MIN(E350,Сводка!$B$4)-MAX(D350,Сводка!$B$2)))</f>
        <v/>
      </c>
    </row>
    <row r="351">
      <c r="A351" s="9" t="n"/>
      <c r="B351" s="10" t="n"/>
      <c r="C351" s="10" t="n"/>
      <c r="D351" s="11" t="n"/>
      <c r="E351" s="11" t="n"/>
      <c r="F351" s="10" t="n"/>
      <c r="G351" s="12">
        <f>IF(B351="","",IF(OR(COUNT(D351:E351)&lt;2,E351&lt;D351),"Проверьте даты",IF(OR(F351="Отменена",F351="Возвращена"),"",IF(SUMPRODUCT(($B$2:$B$500=B351)*($D$2:$D$500&lt;=E351)*($E$2:$E$500&gt;=D351)*($F$2:$F$500&lt;&gt;"Отменена")*($F$2:$F$500&lt;&gt;"Возвращена"))&gt;1,"Пересечение","ОК"))))</f>
        <v/>
      </c>
      <c r="H351" s="12">
        <f>IF(OR(B351="",D351=""),"",IF(AND(OR(F351="Выдана",F351="Возвращена"),SUMPRODUCT(($B$2:$B$500=B351)*($D$2:$D$500=D351)*(($F$2:$F$500="Выдана")+($F$2:$F$500="Возвращена")))&gt;1),"Дубль",""))</f>
        <v/>
      </c>
      <c r="I351" s="13">
        <f>IF(OR(B351="",COUNT(D351:E351)&lt;2,E351&lt;D351),"",IF(Настройки!$B$6=Настройки!$M$3,INT(E351)-INT(D351)+1,ROUNDUP(ROUND((E351-D351)*24,2)/24,0)))</f>
        <v/>
      </c>
      <c r="J351" s="14" t="n"/>
      <c r="K351" s="15">
        <f>IF(OR(I351="",J351=""),"",IF(F351="Отменена",0,ROUND(I351*J351,2)))</f>
        <v/>
      </c>
      <c r="L351" s="15">
        <f>IF(K351="","",ROUND(K351*Настройки!$B$5,2))</f>
        <v/>
      </c>
      <c r="M351" s="15">
        <f>IF(A351="","",SUMIFS(Начисления!$M$2:$M$1000,Начисления!$F$2:$F$1000,A351))</f>
        <v/>
      </c>
      <c r="N351" s="15">
        <f>IF(A351="","",SUM(K351:M351))</f>
        <v/>
      </c>
      <c r="O351" s="14" t="n"/>
      <c r="P351" s="15">
        <f>IF(A351="","",N351-O351)</f>
        <v/>
      </c>
      <c r="Q351" s="10" t="n"/>
      <c r="R351" s="10" t="n"/>
      <c r="S351" s="16">
        <f>IF(ISNUMBER(D351),D351+TIME(3,0,0),"")</f>
        <v/>
      </c>
      <c r="T351" s="10" t="n"/>
      <c r="U351" s="17">
        <f>IF(OR(B351="",COUNT(D351:E351)&lt;2,E351&lt;D351,F351="Отменена"),0,MAX(0,MIN(E351,Сводка!$B$4)-MAX(D351,Сводка!$B$2)))</f>
        <v/>
      </c>
    </row>
    <row r="352">
      <c r="A352" s="9" t="n"/>
      <c r="B352" s="10" t="n"/>
      <c r="C352" s="10" t="n"/>
      <c r="D352" s="11" t="n"/>
      <c r="E352" s="11" t="n"/>
      <c r="F352" s="10" t="n"/>
      <c r="G352" s="12">
        <f>IF(B352="","",IF(OR(COUNT(D352:E352)&lt;2,E352&lt;D352),"Проверьте даты",IF(OR(F352="Отменена",F352="Возвращена"),"",IF(SUMPRODUCT(($B$2:$B$500=B352)*($D$2:$D$500&lt;=E352)*($E$2:$E$500&gt;=D352)*($F$2:$F$500&lt;&gt;"Отменена")*($F$2:$F$500&lt;&gt;"Возвращена"))&gt;1,"Пересечение","ОК"))))</f>
        <v/>
      </c>
      <c r="H352" s="12">
        <f>IF(OR(B352="",D352=""),"",IF(AND(OR(F352="Выдана",F352="Возвращена"),SUMPRODUCT(($B$2:$B$500=B352)*($D$2:$D$500=D352)*(($F$2:$F$500="Выдана")+($F$2:$F$500="Возвращена")))&gt;1),"Дубль",""))</f>
        <v/>
      </c>
      <c r="I352" s="13">
        <f>IF(OR(B352="",COUNT(D352:E352)&lt;2,E352&lt;D352),"",IF(Настройки!$B$6=Настройки!$M$3,INT(E352)-INT(D352)+1,ROUNDUP(ROUND((E352-D352)*24,2)/24,0)))</f>
        <v/>
      </c>
      <c r="J352" s="14" t="n"/>
      <c r="K352" s="15">
        <f>IF(OR(I352="",J352=""),"",IF(F352="Отменена",0,ROUND(I352*J352,2)))</f>
        <v/>
      </c>
      <c r="L352" s="15">
        <f>IF(K352="","",ROUND(K352*Настройки!$B$5,2))</f>
        <v/>
      </c>
      <c r="M352" s="15">
        <f>IF(A352="","",SUMIFS(Начисления!$M$2:$M$1000,Начисления!$F$2:$F$1000,A352))</f>
        <v/>
      </c>
      <c r="N352" s="15">
        <f>IF(A352="","",SUM(K352:M352))</f>
        <v/>
      </c>
      <c r="O352" s="14" t="n"/>
      <c r="P352" s="15">
        <f>IF(A352="","",N352-O352)</f>
        <v/>
      </c>
      <c r="Q352" s="10" t="n"/>
      <c r="R352" s="10" t="n"/>
      <c r="S352" s="16">
        <f>IF(ISNUMBER(D352),D352+TIME(3,0,0),"")</f>
        <v/>
      </c>
      <c r="T352" s="10" t="n"/>
      <c r="U352" s="17">
        <f>IF(OR(B352="",COUNT(D352:E352)&lt;2,E352&lt;D352,F352="Отменена"),0,MAX(0,MIN(E352,Сводка!$B$4)-MAX(D352,Сводка!$B$2)))</f>
        <v/>
      </c>
    </row>
    <row r="353">
      <c r="A353" s="9" t="n"/>
      <c r="B353" s="10" t="n"/>
      <c r="C353" s="10" t="n"/>
      <c r="D353" s="11" t="n"/>
      <c r="E353" s="11" t="n"/>
      <c r="F353" s="10" t="n"/>
      <c r="G353" s="12">
        <f>IF(B353="","",IF(OR(COUNT(D353:E353)&lt;2,E353&lt;D353),"Проверьте даты",IF(OR(F353="Отменена",F353="Возвращена"),"",IF(SUMPRODUCT(($B$2:$B$500=B353)*($D$2:$D$500&lt;=E353)*($E$2:$E$500&gt;=D353)*($F$2:$F$500&lt;&gt;"Отменена")*($F$2:$F$500&lt;&gt;"Возвращена"))&gt;1,"Пересечение","ОК"))))</f>
        <v/>
      </c>
      <c r="H353" s="12">
        <f>IF(OR(B353="",D353=""),"",IF(AND(OR(F353="Выдана",F353="Возвращена"),SUMPRODUCT(($B$2:$B$500=B353)*($D$2:$D$500=D353)*(($F$2:$F$500="Выдана")+($F$2:$F$500="Возвращена")))&gt;1),"Дубль",""))</f>
        <v/>
      </c>
      <c r="I353" s="13">
        <f>IF(OR(B353="",COUNT(D353:E353)&lt;2,E353&lt;D353),"",IF(Настройки!$B$6=Настройки!$M$3,INT(E353)-INT(D353)+1,ROUNDUP(ROUND((E353-D353)*24,2)/24,0)))</f>
        <v/>
      </c>
      <c r="J353" s="14" t="n"/>
      <c r="K353" s="15">
        <f>IF(OR(I353="",J353=""),"",IF(F353="Отменена",0,ROUND(I353*J353,2)))</f>
        <v/>
      </c>
      <c r="L353" s="15">
        <f>IF(K353="","",ROUND(K353*Настройки!$B$5,2))</f>
        <v/>
      </c>
      <c r="M353" s="15">
        <f>IF(A353="","",SUMIFS(Начисления!$M$2:$M$1000,Начисления!$F$2:$F$1000,A353))</f>
        <v/>
      </c>
      <c r="N353" s="15">
        <f>IF(A353="","",SUM(K353:M353))</f>
        <v/>
      </c>
      <c r="O353" s="14" t="n"/>
      <c r="P353" s="15">
        <f>IF(A353="","",N353-O353)</f>
        <v/>
      </c>
      <c r="Q353" s="10" t="n"/>
      <c r="R353" s="10" t="n"/>
      <c r="S353" s="16">
        <f>IF(ISNUMBER(D353),D353+TIME(3,0,0),"")</f>
        <v/>
      </c>
      <c r="T353" s="10" t="n"/>
      <c r="U353" s="17">
        <f>IF(OR(B353="",COUNT(D353:E353)&lt;2,E353&lt;D353,F353="Отменена"),0,MAX(0,MIN(E353,Сводка!$B$4)-MAX(D353,Сводка!$B$2)))</f>
        <v/>
      </c>
    </row>
    <row r="354">
      <c r="A354" s="9" t="n"/>
      <c r="B354" s="10" t="n"/>
      <c r="C354" s="10" t="n"/>
      <c r="D354" s="11" t="n"/>
      <c r="E354" s="11" t="n"/>
      <c r="F354" s="10" t="n"/>
      <c r="G354" s="12">
        <f>IF(B354="","",IF(OR(COUNT(D354:E354)&lt;2,E354&lt;D354),"Проверьте даты",IF(OR(F354="Отменена",F354="Возвращена"),"",IF(SUMPRODUCT(($B$2:$B$500=B354)*($D$2:$D$500&lt;=E354)*($E$2:$E$500&gt;=D354)*($F$2:$F$500&lt;&gt;"Отменена")*($F$2:$F$500&lt;&gt;"Возвращена"))&gt;1,"Пересечение","ОК"))))</f>
        <v/>
      </c>
      <c r="H354" s="12">
        <f>IF(OR(B354="",D354=""),"",IF(AND(OR(F354="Выдана",F354="Возвращена"),SUMPRODUCT(($B$2:$B$500=B354)*($D$2:$D$500=D354)*(($F$2:$F$500="Выдана")+($F$2:$F$500="Возвращена")))&gt;1),"Дубль",""))</f>
        <v/>
      </c>
      <c r="I354" s="13">
        <f>IF(OR(B354="",COUNT(D354:E354)&lt;2,E354&lt;D354),"",IF(Настройки!$B$6=Настройки!$M$3,INT(E354)-INT(D354)+1,ROUNDUP(ROUND((E354-D354)*24,2)/24,0)))</f>
        <v/>
      </c>
      <c r="J354" s="14" t="n"/>
      <c r="K354" s="15">
        <f>IF(OR(I354="",J354=""),"",IF(F354="Отменена",0,ROUND(I354*J354,2)))</f>
        <v/>
      </c>
      <c r="L354" s="15">
        <f>IF(K354="","",ROUND(K354*Настройки!$B$5,2))</f>
        <v/>
      </c>
      <c r="M354" s="15">
        <f>IF(A354="","",SUMIFS(Начисления!$M$2:$M$1000,Начисления!$F$2:$F$1000,A354))</f>
        <v/>
      </c>
      <c r="N354" s="15">
        <f>IF(A354="","",SUM(K354:M354))</f>
        <v/>
      </c>
      <c r="O354" s="14" t="n"/>
      <c r="P354" s="15">
        <f>IF(A354="","",N354-O354)</f>
        <v/>
      </c>
      <c r="Q354" s="10" t="n"/>
      <c r="R354" s="10" t="n"/>
      <c r="S354" s="16">
        <f>IF(ISNUMBER(D354),D354+TIME(3,0,0),"")</f>
        <v/>
      </c>
      <c r="T354" s="10" t="n"/>
      <c r="U354" s="17">
        <f>IF(OR(B354="",COUNT(D354:E354)&lt;2,E354&lt;D354,F354="Отменена"),0,MAX(0,MIN(E354,Сводка!$B$4)-MAX(D354,Сводка!$B$2)))</f>
        <v/>
      </c>
    </row>
    <row r="355">
      <c r="A355" s="9" t="n"/>
      <c r="B355" s="10" t="n"/>
      <c r="C355" s="10" t="n"/>
      <c r="D355" s="11" t="n"/>
      <c r="E355" s="11" t="n"/>
      <c r="F355" s="10" t="n"/>
      <c r="G355" s="12">
        <f>IF(B355="","",IF(OR(COUNT(D355:E355)&lt;2,E355&lt;D355),"Проверьте даты",IF(OR(F355="Отменена",F355="Возвращена"),"",IF(SUMPRODUCT(($B$2:$B$500=B355)*($D$2:$D$500&lt;=E355)*($E$2:$E$500&gt;=D355)*($F$2:$F$500&lt;&gt;"Отменена")*($F$2:$F$500&lt;&gt;"Возвращена"))&gt;1,"Пересечение","ОК"))))</f>
        <v/>
      </c>
      <c r="H355" s="12">
        <f>IF(OR(B355="",D355=""),"",IF(AND(OR(F355="Выдана",F355="Возвращена"),SUMPRODUCT(($B$2:$B$500=B355)*($D$2:$D$500=D355)*(($F$2:$F$500="Выдана")+($F$2:$F$500="Возвращена")))&gt;1),"Дубль",""))</f>
        <v/>
      </c>
      <c r="I355" s="13">
        <f>IF(OR(B355="",COUNT(D355:E355)&lt;2,E355&lt;D355),"",IF(Настройки!$B$6=Настройки!$M$3,INT(E355)-INT(D355)+1,ROUNDUP(ROUND((E355-D355)*24,2)/24,0)))</f>
        <v/>
      </c>
      <c r="J355" s="14" t="n"/>
      <c r="K355" s="15">
        <f>IF(OR(I355="",J355=""),"",IF(F355="Отменена",0,ROUND(I355*J355,2)))</f>
        <v/>
      </c>
      <c r="L355" s="15">
        <f>IF(K355="","",ROUND(K355*Настройки!$B$5,2))</f>
        <v/>
      </c>
      <c r="M355" s="15">
        <f>IF(A355="","",SUMIFS(Начисления!$M$2:$M$1000,Начисления!$F$2:$F$1000,A355))</f>
        <v/>
      </c>
      <c r="N355" s="15">
        <f>IF(A355="","",SUM(K355:M355))</f>
        <v/>
      </c>
      <c r="O355" s="14" t="n"/>
      <c r="P355" s="15">
        <f>IF(A355="","",N355-O355)</f>
        <v/>
      </c>
      <c r="Q355" s="10" t="n"/>
      <c r="R355" s="10" t="n"/>
      <c r="S355" s="16">
        <f>IF(ISNUMBER(D355),D355+TIME(3,0,0),"")</f>
        <v/>
      </c>
      <c r="T355" s="10" t="n"/>
      <c r="U355" s="17">
        <f>IF(OR(B355="",COUNT(D355:E355)&lt;2,E355&lt;D355,F355="Отменена"),0,MAX(0,MIN(E355,Сводка!$B$4)-MAX(D355,Сводка!$B$2)))</f>
        <v/>
      </c>
    </row>
    <row r="356">
      <c r="A356" s="9" t="n"/>
      <c r="B356" s="10" t="n"/>
      <c r="C356" s="10" t="n"/>
      <c r="D356" s="11" t="n"/>
      <c r="E356" s="11" t="n"/>
      <c r="F356" s="10" t="n"/>
      <c r="G356" s="12">
        <f>IF(B356="","",IF(OR(COUNT(D356:E356)&lt;2,E356&lt;D356),"Проверьте даты",IF(OR(F356="Отменена",F356="Возвращена"),"",IF(SUMPRODUCT(($B$2:$B$500=B356)*($D$2:$D$500&lt;=E356)*($E$2:$E$500&gt;=D356)*($F$2:$F$500&lt;&gt;"Отменена")*($F$2:$F$500&lt;&gt;"Возвращена"))&gt;1,"Пересечение","ОК"))))</f>
        <v/>
      </c>
      <c r="H356" s="12">
        <f>IF(OR(B356="",D356=""),"",IF(AND(OR(F356="Выдана",F356="Возвращена"),SUMPRODUCT(($B$2:$B$500=B356)*($D$2:$D$500=D356)*(($F$2:$F$500="Выдана")+($F$2:$F$500="Возвращена")))&gt;1),"Дубль",""))</f>
        <v/>
      </c>
      <c r="I356" s="13">
        <f>IF(OR(B356="",COUNT(D356:E356)&lt;2,E356&lt;D356),"",IF(Настройки!$B$6=Настройки!$M$3,INT(E356)-INT(D356)+1,ROUNDUP(ROUND((E356-D356)*24,2)/24,0)))</f>
        <v/>
      </c>
      <c r="J356" s="14" t="n"/>
      <c r="K356" s="15">
        <f>IF(OR(I356="",J356=""),"",IF(F356="Отменена",0,ROUND(I356*J356,2)))</f>
        <v/>
      </c>
      <c r="L356" s="15">
        <f>IF(K356="","",ROUND(K356*Настройки!$B$5,2))</f>
        <v/>
      </c>
      <c r="M356" s="15">
        <f>IF(A356="","",SUMIFS(Начисления!$M$2:$M$1000,Начисления!$F$2:$F$1000,A356))</f>
        <v/>
      </c>
      <c r="N356" s="15">
        <f>IF(A356="","",SUM(K356:M356))</f>
        <v/>
      </c>
      <c r="O356" s="14" t="n"/>
      <c r="P356" s="15">
        <f>IF(A356="","",N356-O356)</f>
        <v/>
      </c>
      <c r="Q356" s="10" t="n"/>
      <c r="R356" s="10" t="n"/>
      <c r="S356" s="16">
        <f>IF(ISNUMBER(D356),D356+TIME(3,0,0),"")</f>
        <v/>
      </c>
      <c r="T356" s="10" t="n"/>
      <c r="U356" s="17">
        <f>IF(OR(B356="",COUNT(D356:E356)&lt;2,E356&lt;D356,F356="Отменена"),0,MAX(0,MIN(E356,Сводка!$B$4)-MAX(D356,Сводка!$B$2)))</f>
        <v/>
      </c>
    </row>
    <row r="357">
      <c r="A357" s="9" t="n"/>
      <c r="B357" s="10" t="n"/>
      <c r="C357" s="10" t="n"/>
      <c r="D357" s="11" t="n"/>
      <c r="E357" s="11" t="n"/>
      <c r="F357" s="10" t="n"/>
      <c r="G357" s="12">
        <f>IF(B357="","",IF(OR(COUNT(D357:E357)&lt;2,E357&lt;D357),"Проверьте даты",IF(OR(F357="Отменена",F357="Возвращена"),"",IF(SUMPRODUCT(($B$2:$B$500=B357)*($D$2:$D$500&lt;=E357)*($E$2:$E$500&gt;=D357)*($F$2:$F$500&lt;&gt;"Отменена")*($F$2:$F$500&lt;&gt;"Возвращена"))&gt;1,"Пересечение","ОК"))))</f>
        <v/>
      </c>
      <c r="H357" s="12">
        <f>IF(OR(B357="",D357=""),"",IF(AND(OR(F357="Выдана",F357="Возвращена"),SUMPRODUCT(($B$2:$B$500=B357)*($D$2:$D$500=D357)*(($F$2:$F$500="Выдана")+($F$2:$F$500="Возвращена")))&gt;1),"Дубль",""))</f>
        <v/>
      </c>
      <c r="I357" s="13">
        <f>IF(OR(B357="",COUNT(D357:E357)&lt;2,E357&lt;D357),"",IF(Настройки!$B$6=Настройки!$M$3,INT(E357)-INT(D357)+1,ROUNDUP(ROUND((E357-D357)*24,2)/24,0)))</f>
        <v/>
      </c>
      <c r="J357" s="14" t="n"/>
      <c r="K357" s="15">
        <f>IF(OR(I357="",J357=""),"",IF(F357="Отменена",0,ROUND(I357*J357,2)))</f>
        <v/>
      </c>
      <c r="L357" s="15">
        <f>IF(K357="","",ROUND(K357*Настройки!$B$5,2))</f>
        <v/>
      </c>
      <c r="M357" s="15">
        <f>IF(A357="","",SUMIFS(Начисления!$M$2:$M$1000,Начисления!$F$2:$F$1000,A357))</f>
        <v/>
      </c>
      <c r="N357" s="15">
        <f>IF(A357="","",SUM(K357:M357))</f>
        <v/>
      </c>
      <c r="O357" s="14" t="n"/>
      <c r="P357" s="15">
        <f>IF(A357="","",N357-O357)</f>
        <v/>
      </c>
      <c r="Q357" s="10" t="n"/>
      <c r="R357" s="10" t="n"/>
      <c r="S357" s="16">
        <f>IF(ISNUMBER(D357),D357+TIME(3,0,0),"")</f>
        <v/>
      </c>
      <c r="T357" s="10" t="n"/>
      <c r="U357" s="17">
        <f>IF(OR(B357="",COUNT(D357:E357)&lt;2,E357&lt;D357,F357="Отменена"),0,MAX(0,MIN(E357,Сводка!$B$4)-MAX(D357,Сводка!$B$2)))</f>
        <v/>
      </c>
    </row>
    <row r="358">
      <c r="A358" s="9" t="n"/>
      <c r="B358" s="10" t="n"/>
      <c r="C358" s="10" t="n"/>
      <c r="D358" s="11" t="n"/>
      <c r="E358" s="11" t="n"/>
      <c r="F358" s="10" t="n"/>
      <c r="G358" s="12">
        <f>IF(B358="","",IF(OR(COUNT(D358:E358)&lt;2,E358&lt;D358),"Проверьте даты",IF(OR(F358="Отменена",F358="Возвращена"),"",IF(SUMPRODUCT(($B$2:$B$500=B358)*($D$2:$D$500&lt;=E358)*($E$2:$E$500&gt;=D358)*($F$2:$F$500&lt;&gt;"Отменена")*($F$2:$F$500&lt;&gt;"Возвращена"))&gt;1,"Пересечение","ОК"))))</f>
        <v/>
      </c>
      <c r="H358" s="12">
        <f>IF(OR(B358="",D358=""),"",IF(AND(OR(F358="Выдана",F358="Возвращена"),SUMPRODUCT(($B$2:$B$500=B358)*($D$2:$D$500=D358)*(($F$2:$F$500="Выдана")+($F$2:$F$500="Возвращена")))&gt;1),"Дубль",""))</f>
        <v/>
      </c>
      <c r="I358" s="13">
        <f>IF(OR(B358="",COUNT(D358:E358)&lt;2,E358&lt;D358),"",IF(Настройки!$B$6=Настройки!$M$3,INT(E358)-INT(D358)+1,ROUNDUP(ROUND((E358-D358)*24,2)/24,0)))</f>
        <v/>
      </c>
      <c r="J358" s="14" t="n"/>
      <c r="K358" s="15">
        <f>IF(OR(I358="",J358=""),"",IF(F358="Отменена",0,ROUND(I358*J358,2)))</f>
        <v/>
      </c>
      <c r="L358" s="15">
        <f>IF(K358="","",ROUND(K358*Настройки!$B$5,2))</f>
        <v/>
      </c>
      <c r="M358" s="15">
        <f>IF(A358="","",SUMIFS(Начисления!$M$2:$M$1000,Начисления!$F$2:$F$1000,A358))</f>
        <v/>
      </c>
      <c r="N358" s="15">
        <f>IF(A358="","",SUM(K358:M358))</f>
        <v/>
      </c>
      <c r="O358" s="14" t="n"/>
      <c r="P358" s="15">
        <f>IF(A358="","",N358-O358)</f>
        <v/>
      </c>
      <c r="Q358" s="10" t="n"/>
      <c r="R358" s="10" t="n"/>
      <c r="S358" s="16">
        <f>IF(ISNUMBER(D358),D358+TIME(3,0,0),"")</f>
        <v/>
      </c>
      <c r="T358" s="10" t="n"/>
      <c r="U358" s="17">
        <f>IF(OR(B358="",COUNT(D358:E358)&lt;2,E358&lt;D358,F358="Отменена"),0,MAX(0,MIN(E358,Сводка!$B$4)-MAX(D358,Сводка!$B$2)))</f>
        <v/>
      </c>
    </row>
    <row r="359">
      <c r="A359" s="9" t="n"/>
      <c r="B359" s="10" t="n"/>
      <c r="C359" s="10" t="n"/>
      <c r="D359" s="11" t="n"/>
      <c r="E359" s="11" t="n"/>
      <c r="F359" s="10" t="n"/>
      <c r="G359" s="12">
        <f>IF(B359="","",IF(OR(COUNT(D359:E359)&lt;2,E359&lt;D359),"Проверьте даты",IF(OR(F359="Отменена",F359="Возвращена"),"",IF(SUMPRODUCT(($B$2:$B$500=B359)*($D$2:$D$500&lt;=E359)*($E$2:$E$500&gt;=D359)*($F$2:$F$500&lt;&gt;"Отменена")*($F$2:$F$500&lt;&gt;"Возвращена"))&gt;1,"Пересечение","ОК"))))</f>
        <v/>
      </c>
      <c r="H359" s="12">
        <f>IF(OR(B359="",D359=""),"",IF(AND(OR(F359="Выдана",F359="Возвращена"),SUMPRODUCT(($B$2:$B$500=B359)*($D$2:$D$500=D359)*(($F$2:$F$500="Выдана")+($F$2:$F$500="Возвращена")))&gt;1),"Дубль",""))</f>
        <v/>
      </c>
      <c r="I359" s="13">
        <f>IF(OR(B359="",COUNT(D359:E359)&lt;2,E359&lt;D359),"",IF(Настройки!$B$6=Настройки!$M$3,INT(E359)-INT(D359)+1,ROUNDUP(ROUND((E359-D359)*24,2)/24,0)))</f>
        <v/>
      </c>
      <c r="J359" s="14" t="n"/>
      <c r="K359" s="15">
        <f>IF(OR(I359="",J359=""),"",IF(F359="Отменена",0,ROUND(I359*J359,2)))</f>
        <v/>
      </c>
      <c r="L359" s="15">
        <f>IF(K359="","",ROUND(K359*Настройки!$B$5,2))</f>
        <v/>
      </c>
      <c r="M359" s="15">
        <f>IF(A359="","",SUMIFS(Начисления!$M$2:$M$1000,Начисления!$F$2:$F$1000,A359))</f>
        <v/>
      </c>
      <c r="N359" s="15">
        <f>IF(A359="","",SUM(K359:M359))</f>
        <v/>
      </c>
      <c r="O359" s="14" t="n"/>
      <c r="P359" s="15">
        <f>IF(A359="","",N359-O359)</f>
        <v/>
      </c>
      <c r="Q359" s="10" t="n"/>
      <c r="R359" s="10" t="n"/>
      <c r="S359" s="16">
        <f>IF(ISNUMBER(D359),D359+TIME(3,0,0),"")</f>
        <v/>
      </c>
      <c r="T359" s="10" t="n"/>
      <c r="U359" s="17">
        <f>IF(OR(B359="",COUNT(D359:E359)&lt;2,E359&lt;D359,F359="Отменена"),0,MAX(0,MIN(E359,Сводка!$B$4)-MAX(D359,Сводка!$B$2)))</f>
        <v/>
      </c>
    </row>
    <row r="360">
      <c r="A360" s="9" t="n"/>
      <c r="B360" s="10" t="n"/>
      <c r="C360" s="10" t="n"/>
      <c r="D360" s="11" t="n"/>
      <c r="E360" s="11" t="n"/>
      <c r="F360" s="10" t="n"/>
      <c r="G360" s="12">
        <f>IF(B360="","",IF(OR(COUNT(D360:E360)&lt;2,E360&lt;D360),"Проверьте даты",IF(OR(F360="Отменена",F360="Возвращена"),"",IF(SUMPRODUCT(($B$2:$B$500=B360)*($D$2:$D$500&lt;=E360)*($E$2:$E$500&gt;=D360)*($F$2:$F$500&lt;&gt;"Отменена")*($F$2:$F$500&lt;&gt;"Возвращена"))&gt;1,"Пересечение","ОК"))))</f>
        <v/>
      </c>
      <c r="H360" s="12">
        <f>IF(OR(B360="",D360=""),"",IF(AND(OR(F360="Выдана",F360="Возвращена"),SUMPRODUCT(($B$2:$B$500=B360)*($D$2:$D$500=D360)*(($F$2:$F$500="Выдана")+($F$2:$F$500="Возвращена")))&gt;1),"Дубль",""))</f>
        <v/>
      </c>
      <c r="I360" s="13">
        <f>IF(OR(B360="",COUNT(D360:E360)&lt;2,E360&lt;D360),"",IF(Настройки!$B$6=Настройки!$M$3,INT(E360)-INT(D360)+1,ROUNDUP(ROUND((E360-D360)*24,2)/24,0)))</f>
        <v/>
      </c>
      <c r="J360" s="14" t="n"/>
      <c r="K360" s="15">
        <f>IF(OR(I360="",J360=""),"",IF(F360="Отменена",0,ROUND(I360*J360,2)))</f>
        <v/>
      </c>
      <c r="L360" s="15">
        <f>IF(K360="","",ROUND(K360*Настройки!$B$5,2))</f>
        <v/>
      </c>
      <c r="M360" s="15">
        <f>IF(A360="","",SUMIFS(Начисления!$M$2:$M$1000,Начисления!$F$2:$F$1000,A360))</f>
        <v/>
      </c>
      <c r="N360" s="15">
        <f>IF(A360="","",SUM(K360:M360))</f>
        <v/>
      </c>
      <c r="O360" s="14" t="n"/>
      <c r="P360" s="15">
        <f>IF(A360="","",N360-O360)</f>
        <v/>
      </c>
      <c r="Q360" s="10" t="n"/>
      <c r="R360" s="10" t="n"/>
      <c r="S360" s="16">
        <f>IF(ISNUMBER(D360),D360+TIME(3,0,0),"")</f>
        <v/>
      </c>
      <c r="T360" s="10" t="n"/>
      <c r="U360" s="17">
        <f>IF(OR(B360="",COUNT(D360:E360)&lt;2,E360&lt;D360,F360="Отменена"),0,MAX(0,MIN(E360,Сводка!$B$4)-MAX(D360,Сводка!$B$2)))</f>
        <v/>
      </c>
    </row>
    <row r="361">
      <c r="A361" s="9" t="n"/>
      <c r="B361" s="10" t="n"/>
      <c r="C361" s="10" t="n"/>
      <c r="D361" s="11" t="n"/>
      <c r="E361" s="11" t="n"/>
      <c r="F361" s="10" t="n"/>
      <c r="G361" s="12">
        <f>IF(B361="","",IF(OR(COUNT(D361:E361)&lt;2,E361&lt;D361),"Проверьте даты",IF(OR(F361="Отменена",F361="Возвращена"),"",IF(SUMPRODUCT(($B$2:$B$500=B361)*($D$2:$D$500&lt;=E361)*($E$2:$E$500&gt;=D361)*($F$2:$F$500&lt;&gt;"Отменена")*($F$2:$F$500&lt;&gt;"Возвращена"))&gt;1,"Пересечение","ОК"))))</f>
        <v/>
      </c>
      <c r="H361" s="12">
        <f>IF(OR(B361="",D361=""),"",IF(AND(OR(F361="Выдана",F361="Возвращена"),SUMPRODUCT(($B$2:$B$500=B361)*($D$2:$D$500=D361)*(($F$2:$F$500="Выдана")+($F$2:$F$500="Возвращена")))&gt;1),"Дубль",""))</f>
        <v/>
      </c>
      <c r="I361" s="13">
        <f>IF(OR(B361="",COUNT(D361:E361)&lt;2,E361&lt;D361),"",IF(Настройки!$B$6=Настройки!$M$3,INT(E361)-INT(D361)+1,ROUNDUP(ROUND((E361-D361)*24,2)/24,0)))</f>
        <v/>
      </c>
      <c r="J361" s="14" t="n"/>
      <c r="K361" s="15">
        <f>IF(OR(I361="",J361=""),"",IF(F361="Отменена",0,ROUND(I361*J361,2)))</f>
        <v/>
      </c>
      <c r="L361" s="15">
        <f>IF(K361="","",ROUND(K361*Настройки!$B$5,2))</f>
        <v/>
      </c>
      <c r="M361" s="15">
        <f>IF(A361="","",SUMIFS(Начисления!$M$2:$M$1000,Начисления!$F$2:$F$1000,A361))</f>
        <v/>
      </c>
      <c r="N361" s="15">
        <f>IF(A361="","",SUM(K361:M361))</f>
        <v/>
      </c>
      <c r="O361" s="14" t="n"/>
      <c r="P361" s="15">
        <f>IF(A361="","",N361-O361)</f>
        <v/>
      </c>
      <c r="Q361" s="10" t="n"/>
      <c r="R361" s="10" t="n"/>
      <c r="S361" s="16">
        <f>IF(ISNUMBER(D361),D361+TIME(3,0,0),"")</f>
        <v/>
      </c>
      <c r="T361" s="10" t="n"/>
      <c r="U361" s="17">
        <f>IF(OR(B361="",COUNT(D361:E361)&lt;2,E361&lt;D361,F361="Отменена"),0,MAX(0,MIN(E361,Сводка!$B$4)-MAX(D361,Сводка!$B$2)))</f>
        <v/>
      </c>
    </row>
    <row r="362">
      <c r="A362" s="9" t="n"/>
      <c r="B362" s="10" t="n"/>
      <c r="C362" s="10" t="n"/>
      <c r="D362" s="11" t="n"/>
      <c r="E362" s="11" t="n"/>
      <c r="F362" s="10" t="n"/>
      <c r="G362" s="12">
        <f>IF(B362="","",IF(OR(COUNT(D362:E362)&lt;2,E362&lt;D362),"Проверьте даты",IF(OR(F362="Отменена",F362="Возвращена"),"",IF(SUMPRODUCT(($B$2:$B$500=B362)*($D$2:$D$500&lt;=E362)*($E$2:$E$500&gt;=D362)*($F$2:$F$500&lt;&gt;"Отменена")*($F$2:$F$500&lt;&gt;"Возвращена"))&gt;1,"Пересечение","ОК"))))</f>
        <v/>
      </c>
      <c r="H362" s="12">
        <f>IF(OR(B362="",D362=""),"",IF(AND(OR(F362="Выдана",F362="Возвращена"),SUMPRODUCT(($B$2:$B$500=B362)*($D$2:$D$500=D362)*(($F$2:$F$500="Выдана")+($F$2:$F$500="Возвращена")))&gt;1),"Дубль",""))</f>
        <v/>
      </c>
      <c r="I362" s="13">
        <f>IF(OR(B362="",COUNT(D362:E362)&lt;2,E362&lt;D362),"",IF(Настройки!$B$6=Настройки!$M$3,INT(E362)-INT(D362)+1,ROUNDUP(ROUND((E362-D362)*24,2)/24,0)))</f>
        <v/>
      </c>
      <c r="J362" s="14" t="n"/>
      <c r="K362" s="15">
        <f>IF(OR(I362="",J362=""),"",IF(F362="Отменена",0,ROUND(I362*J362,2)))</f>
        <v/>
      </c>
      <c r="L362" s="15">
        <f>IF(K362="","",ROUND(K362*Настройки!$B$5,2))</f>
        <v/>
      </c>
      <c r="M362" s="15">
        <f>IF(A362="","",SUMIFS(Начисления!$M$2:$M$1000,Начисления!$F$2:$F$1000,A362))</f>
        <v/>
      </c>
      <c r="N362" s="15">
        <f>IF(A362="","",SUM(K362:M362))</f>
        <v/>
      </c>
      <c r="O362" s="14" t="n"/>
      <c r="P362" s="15">
        <f>IF(A362="","",N362-O362)</f>
        <v/>
      </c>
      <c r="Q362" s="10" t="n"/>
      <c r="R362" s="10" t="n"/>
      <c r="S362" s="16">
        <f>IF(ISNUMBER(D362),D362+TIME(3,0,0),"")</f>
        <v/>
      </c>
      <c r="T362" s="10" t="n"/>
      <c r="U362" s="17">
        <f>IF(OR(B362="",COUNT(D362:E362)&lt;2,E362&lt;D362,F362="Отменена"),0,MAX(0,MIN(E362,Сводка!$B$4)-MAX(D362,Сводка!$B$2)))</f>
        <v/>
      </c>
    </row>
    <row r="363">
      <c r="A363" s="9" t="n"/>
      <c r="B363" s="10" t="n"/>
      <c r="C363" s="10" t="n"/>
      <c r="D363" s="11" t="n"/>
      <c r="E363" s="11" t="n"/>
      <c r="F363" s="10" t="n"/>
      <c r="G363" s="12">
        <f>IF(B363="","",IF(OR(COUNT(D363:E363)&lt;2,E363&lt;D363),"Проверьте даты",IF(OR(F363="Отменена",F363="Возвращена"),"",IF(SUMPRODUCT(($B$2:$B$500=B363)*($D$2:$D$500&lt;=E363)*($E$2:$E$500&gt;=D363)*($F$2:$F$500&lt;&gt;"Отменена")*($F$2:$F$500&lt;&gt;"Возвращена"))&gt;1,"Пересечение","ОК"))))</f>
        <v/>
      </c>
      <c r="H363" s="12">
        <f>IF(OR(B363="",D363=""),"",IF(AND(OR(F363="Выдана",F363="Возвращена"),SUMPRODUCT(($B$2:$B$500=B363)*($D$2:$D$500=D363)*(($F$2:$F$500="Выдана")+($F$2:$F$500="Возвращена")))&gt;1),"Дубль",""))</f>
        <v/>
      </c>
      <c r="I363" s="13">
        <f>IF(OR(B363="",COUNT(D363:E363)&lt;2,E363&lt;D363),"",IF(Настройки!$B$6=Настройки!$M$3,INT(E363)-INT(D363)+1,ROUNDUP(ROUND((E363-D363)*24,2)/24,0)))</f>
        <v/>
      </c>
      <c r="J363" s="14" t="n"/>
      <c r="K363" s="15">
        <f>IF(OR(I363="",J363=""),"",IF(F363="Отменена",0,ROUND(I363*J363,2)))</f>
        <v/>
      </c>
      <c r="L363" s="15">
        <f>IF(K363="","",ROUND(K363*Настройки!$B$5,2))</f>
        <v/>
      </c>
      <c r="M363" s="15">
        <f>IF(A363="","",SUMIFS(Начисления!$M$2:$M$1000,Начисления!$F$2:$F$1000,A363))</f>
        <v/>
      </c>
      <c r="N363" s="15">
        <f>IF(A363="","",SUM(K363:M363))</f>
        <v/>
      </c>
      <c r="O363" s="14" t="n"/>
      <c r="P363" s="15">
        <f>IF(A363="","",N363-O363)</f>
        <v/>
      </c>
      <c r="Q363" s="10" t="n"/>
      <c r="R363" s="10" t="n"/>
      <c r="S363" s="16">
        <f>IF(ISNUMBER(D363),D363+TIME(3,0,0),"")</f>
        <v/>
      </c>
      <c r="T363" s="10" t="n"/>
      <c r="U363" s="17">
        <f>IF(OR(B363="",COUNT(D363:E363)&lt;2,E363&lt;D363,F363="Отменена"),0,MAX(0,MIN(E363,Сводка!$B$4)-MAX(D363,Сводка!$B$2)))</f>
        <v/>
      </c>
    </row>
    <row r="364">
      <c r="A364" s="9" t="n"/>
      <c r="B364" s="10" t="n"/>
      <c r="C364" s="10" t="n"/>
      <c r="D364" s="11" t="n"/>
      <c r="E364" s="11" t="n"/>
      <c r="F364" s="10" t="n"/>
      <c r="G364" s="12">
        <f>IF(B364="","",IF(OR(COUNT(D364:E364)&lt;2,E364&lt;D364),"Проверьте даты",IF(OR(F364="Отменена",F364="Возвращена"),"",IF(SUMPRODUCT(($B$2:$B$500=B364)*($D$2:$D$500&lt;=E364)*($E$2:$E$500&gt;=D364)*($F$2:$F$500&lt;&gt;"Отменена")*($F$2:$F$500&lt;&gt;"Возвращена"))&gt;1,"Пересечение","ОК"))))</f>
        <v/>
      </c>
      <c r="H364" s="12">
        <f>IF(OR(B364="",D364=""),"",IF(AND(OR(F364="Выдана",F364="Возвращена"),SUMPRODUCT(($B$2:$B$500=B364)*($D$2:$D$500=D364)*(($F$2:$F$500="Выдана")+($F$2:$F$500="Возвращена")))&gt;1),"Дубль",""))</f>
        <v/>
      </c>
      <c r="I364" s="13">
        <f>IF(OR(B364="",COUNT(D364:E364)&lt;2,E364&lt;D364),"",IF(Настройки!$B$6=Настройки!$M$3,INT(E364)-INT(D364)+1,ROUNDUP(ROUND((E364-D364)*24,2)/24,0)))</f>
        <v/>
      </c>
      <c r="J364" s="14" t="n"/>
      <c r="K364" s="15">
        <f>IF(OR(I364="",J364=""),"",IF(F364="Отменена",0,ROUND(I364*J364,2)))</f>
        <v/>
      </c>
      <c r="L364" s="15">
        <f>IF(K364="","",ROUND(K364*Настройки!$B$5,2))</f>
        <v/>
      </c>
      <c r="M364" s="15">
        <f>IF(A364="","",SUMIFS(Начисления!$M$2:$M$1000,Начисления!$F$2:$F$1000,A364))</f>
        <v/>
      </c>
      <c r="N364" s="15">
        <f>IF(A364="","",SUM(K364:M364))</f>
        <v/>
      </c>
      <c r="O364" s="14" t="n"/>
      <c r="P364" s="15">
        <f>IF(A364="","",N364-O364)</f>
        <v/>
      </c>
      <c r="Q364" s="10" t="n"/>
      <c r="R364" s="10" t="n"/>
      <c r="S364" s="16">
        <f>IF(ISNUMBER(D364),D364+TIME(3,0,0),"")</f>
        <v/>
      </c>
      <c r="T364" s="10" t="n"/>
      <c r="U364" s="17">
        <f>IF(OR(B364="",COUNT(D364:E364)&lt;2,E364&lt;D364,F364="Отменена"),0,MAX(0,MIN(E364,Сводка!$B$4)-MAX(D364,Сводка!$B$2)))</f>
        <v/>
      </c>
    </row>
    <row r="365">
      <c r="A365" s="9" t="n"/>
      <c r="B365" s="10" t="n"/>
      <c r="C365" s="10" t="n"/>
      <c r="D365" s="11" t="n"/>
      <c r="E365" s="11" t="n"/>
      <c r="F365" s="10" t="n"/>
      <c r="G365" s="12">
        <f>IF(B365="","",IF(OR(COUNT(D365:E365)&lt;2,E365&lt;D365),"Проверьте даты",IF(OR(F365="Отменена",F365="Возвращена"),"",IF(SUMPRODUCT(($B$2:$B$500=B365)*($D$2:$D$500&lt;=E365)*($E$2:$E$500&gt;=D365)*($F$2:$F$500&lt;&gt;"Отменена")*($F$2:$F$500&lt;&gt;"Возвращена"))&gt;1,"Пересечение","ОК"))))</f>
        <v/>
      </c>
      <c r="H365" s="12">
        <f>IF(OR(B365="",D365=""),"",IF(AND(OR(F365="Выдана",F365="Возвращена"),SUMPRODUCT(($B$2:$B$500=B365)*($D$2:$D$500=D365)*(($F$2:$F$500="Выдана")+($F$2:$F$500="Возвращена")))&gt;1),"Дубль",""))</f>
        <v/>
      </c>
      <c r="I365" s="13">
        <f>IF(OR(B365="",COUNT(D365:E365)&lt;2,E365&lt;D365),"",IF(Настройки!$B$6=Настройки!$M$3,INT(E365)-INT(D365)+1,ROUNDUP(ROUND((E365-D365)*24,2)/24,0)))</f>
        <v/>
      </c>
      <c r="J365" s="14" t="n"/>
      <c r="K365" s="15">
        <f>IF(OR(I365="",J365=""),"",IF(F365="Отменена",0,ROUND(I365*J365,2)))</f>
        <v/>
      </c>
      <c r="L365" s="15">
        <f>IF(K365="","",ROUND(K365*Настройки!$B$5,2))</f>
        <v/>
      </c>
      <c r="M365" s="15">
        <f>IF(A365="","",SUMIFS(Начисления!$M$2:$M$1000,Начисления!$F$2:$F$1000,A365))</f>
        <v/>
      </c>
      <c r="N365" s="15">
        <f>IF(A365="","",SUM(K365:M365))</f>
        <v/>
      </c>
      <c r="O365" s="14" t="n"/>
      <c r="P365" s="15">
        <f>IF(A365="","",N365-O365)</f>
        <v/>
      </c>
      <c r="Q365" s="10" t="n"/>
      <c r="R365" s="10" t="n"/>
      <c r="S365" s="16">
        <f>IF(ISNUMBER(D365),D365+TIME(3,0,0),"")</f>
        <v/>
      </c>
      <c r="T365" s="10" t="n"/>
      <c r="U365" s="17">
        <f>IF(OR(B365="",COUNT(D365:E365)&lt;2,E365&lt;D365,F365="Отменена"),0,MAX(0,MIN(E365,Сводка!$B$4)-MAX(D365,Сводка!$B$2)))</f>
        <v/>
      </c>
    </row>
    <row r="366">
      <c r="A366" s="9" t="n"/>
      <c r="B366" s="10" t="n"/>
      <c r="C366" s="10" t="n"/>
      <c r="D366" s="11" t="n"/>
      <c r="E366" s="11" t="n"/>
      <c r="F366" s="10" t="n"/>
      <c r="G366" s="12">
        <f>IF(B366="","",IF(OR(COUNT(D366:E366)&lt;2,E366&lt;D366),"Проверьте даты",IF(OR(F366="Отменена",F366="Возвращена"),"",IF(SUMPRODUCT(($B$2:$B$500=B366)*($D$2:$D$500&lt;=E366)*($E$2:$E$500&gt;=D366)*($F$2:$F$500&lt;&gt;"Отменена")*($F$2:$F$500&lt;&gt;"Возвращена"))&gt;1,"Пересечение","ОК"))))</f>
        <v/>
      </c>
      <c r="H366" s="12">
        <f>IF(OR(B366="",D366=""),"",IF(AND(OR(F366="Выдана",F366="Возвращена"),SUMPRODUCT(($B$2:$B$500=B366)*($D$2:$D$500=D366)*(($F$2:$F$500="Выдана")+($F$2:$F$500="Возвращена")))&gt;1),"Дубль",""))</f>
        <v/>
      </c>
      <c r="I366" s="13">
        <f>IF(OR(B366="",COUNT(D366:E366)&lt;2,E366&lt;D366),"",IF(Настройки!$B$6=Настройки!$M$3,INT(E366)-INT(D366)+1,ROUNDUP(ROUND((E366-D366)*24,2)/24,0)))</f>
        <v/>
      </c>
      <c r="J366" s="14" t="n"/>
      <c r="K366" s="15">
        <f>IF(OR(I366="",J366=""),"",IF(F366="Отменена",0,ROUND(I366*J366,2)))</f>
        <v/>
      </c>
      <c r="L366" s="15">
        <f>IF(K366="","",ROUND(K366*Настройки!$B$5,2))</f>
        <v/>
      </c>
      <c r="M366" s="15">
        <f>IF(A366="","",SUMIFS(Начисления!$M$2:$M$1000,Начисления!$F$2:$F$1000,A366))</f>
        <v/>
      </c>
      <c r="N366" s="15">
        <f>IF(A366="","",SUM(K366:M366))</f>
        <v/>
      </c>
      <c r="O366" s="14" t="n"/>
      <c r="P366" s="15">
        <f>IF(A366="","",N366-O366)</f>
        <v/>
      </c>
      <c r="Q366" s="10" t="n"/>
      <c r="R366" s="10" t="n"/>
      <c r="S366" s="16">
        <f>IF(ISNUMBER(D366),D366+TIME(3,0,0),"")</f>
        <v/>
      </c>
      <c r="T366" s="10" t="n"/>
      <c r="U366" s="17">
        <f>IF(OR(B366="",COUNT(D366:E366)&lt;2,E366&lt;D366,F366="Отменена"),0,MAX(0,MIN(E366,Сводка!$B$4)-MAX(D366,Сводка!$B$2)))</f>
        <v/>
      </c>
    </row>
    <row r="367">
      <c r="A367" s="9" t="n"/>
      <c r="B367" s="10" t="n"/>
      <c r="C367" s="10" t="n"/>
      <c r="D367" s="11" t="n"/>
      <c r="E367" s="11" t="n"/>
      <c r="F367" s="10" t="n"/>
      <c r="G367" s="12">
        <f>IF(B367="","",IF(OR(COUNT(D367:E367)&lt;2,E367&lt;D367),"Проверьте даты",IF(OR(F367="Отменена",F367="Возвращена"),"",IF(SUMPRODUCT(($B$2:$B$500=B367)*($D$2:$D$500&lt;=E367)*($E$2:$E$500&gt;=D367)*($F$2:$F$500&lt;&gt;"Отменена")*($F$2:$F$500&lt;&gt;"Возвращена"))&gt;1,"Пересечение","ОК"))))</f>
        <v/>
      </c>
      <c r="H367" s="12">
        <f>IF(OR(B367="",D367=""),"",IF(AND(OR(F367="Выдана",F367="Возвращена"),SUMPRODUCT(($B$2:$B$500=B367)*($D$2:$D$500=D367)*(($F$2:$F$500="Выдана")+($F$2:$F$500="Возвращена")))&gt;1),"Дубль",""))</f>
        <v/>
      </c>
      <c r="I367" s="13">
        <f>IF(OR(B367="",COUNT(D367:E367)&lt;2,E367&lt;D367),"",IF(Настройки!$B$6=Настройки!$M$3,INT(E367)-INT(D367)+1,ROUNDUP(ROUND((E367-D367)*24,2)/24,0)))</f>
        <v/>
      </c>
      <c r="J367" s="14" t="n"/>
      <c r="K367" s="15">
        <f>IF(OR(I367="",J367=""),"",IF(F367="Отменена",0,ROUND(I367*J367,2)))</f>
        <v/>
      </c>
      <c r="L367" s="15">
        <f>IF(K367="","",ROUND(K367*Настройки!$B$5,2))</f>
        <v/>
      </c>
      <c r="M367" s="15">
        <f>IF(A367="","",SUMIFS(Начисления!$M$2:$M$1000,Начисления!$F$2:$F$1000,A367))</f>
        <v/>
      </c>
      <c r="N367" s="15">
        <f>IF(A367="","",SUM(K367:M367))</f>
        <v/>
      </c>
      <c r="O367" s="14" t="n"/>
      <c r="P367" s="15">
        <f>IF(A367="","",N367-O367)</f>
        <v/>
      </c>
      <c r="Q367" s="10" t="n"/>
      <c r="R367" s="10" t="n"/>
      <c r="S367" s="16">
        <f>IF(ISNUMBER(D367),D367+TIME(3,0,0),"")</f>
        <v/>
      </c>
      <c r="T367" s="10" t="n"/>
      <c r="U367" s="17">
        <f>IF(OR(B367="",COUNT(D367:E367)&lt;2,E367&lt;D367,F367="Отменена"),0,MAX(0,MIN(E367,Сводка!$B$4)-MAX(D367,Сводка!$B$2)))</f>
        <v/>
      </c>
    </row>
    <row r="368">
      <c r="A368" s="9" t="n"/>
      <c r="B368" s="10" t="n"/>
      <c r="C368" s="10" t="n"/>
      <c r="D368" s="11" t="n"/>
      <c r="E368" s="11" t="n"/>
      <c r="F368" s="10" t="n"/>
      <c r="G368" s="12">
        <f>IF(B368="","",IF(OR(COUNT(D368:E368)&lt;2,E368&lt;D368),"Проверьте даты",IF(OR(F368="Отменена",F368="Возвращена"),"",IF(SUMPRODUCT(($B$2:$B$500=B368)*($D$2:$D$500&lt;=E368)*($E$2:$E$500&gt;=D368)*($F$2:$F$500&lt;&gt;"Отменена")*($F$2:$F$500&lt;&gt;"Возвращена"))&gt;1,"Пересечение","ОК"))))</f>
        <v/>
      </c>
      <c r="H368" s="12">
        <f>IF(OR(B368="",D368=""),"",IF(AND(OR(F368="Выдана",F368="Возвращена"),SUMPRODUCT(($B$2:$B$500=B368)*($D$2:$D$500=D368)*(($F$2:$F$500="Выдана")+($F$2:$F$500="Возвращена")))&gt;1),"Дубль",""))</f>
        <v/>
      </c>
      <c r="I368" s="13">
        <f>IF(OR(B368="",COUNT(D368:E368)&lt;2,E368&lt;D368),"",IF(Настройки!$B$6=Настройки!$M$3,INT(E368)-INT(D368)+1,ROUNDUP(ROUND((E368-D368)*24,2)/24,0)))</f>
        <v/>
      </c>
      <c r="J368" s="14" t="n"/>
      <c r="K368" s="15">
        <f>IF(OR(I368="",J368=""),"",IF(F368="Отменена",0,ROUND(I368*J368,2)))</f>
        <v/>
      </c>
      <c r="L368" s="15">
        <f>IF(K368="","",ROUND(K368*Настройки!$B$5,2))</f>
        <v/>
      </c>
      <c r="M368" s="15">
        <f>IF(A368="","",SUMIFS(Начисления!$M$2:$M$1000,Начисления!$F$2:$F$1000,A368))</f>
        <v/>
      </c>
      <c r="N368" s="15">
        <f>IF(A368="","",SUM(K368:M368))</f>
        <v/>
      </c>
      <c r="O368" s="14" t="n"/>
      <c r="P368" s="15">
        <f>IF(A368="","",N368-O368)</f>
        <v/>
      </c>
      <c r="Q368" s="10" t="n"/>
      <c r="R368" s="10" t="n"/>
      <c r="S368" s="16">
        <f>IF(ISNUMBER(D368),D368+TIME(3,0,0),"")</f>
        <v/>
      </c>
      <c r="T368" s="10" t="n"/>
      <c r="U368" s="17">
        <f>IF(OR(B368="",COUNT(D368:E368)&lt;2,E368&lt;D368,F368="Отменена"),0,MAX(0,MIN(E368,Сводка!$B$4)-MAX(D368,Сводка!$B$2)))</f>
        <v/>
      </c>
    </row>
    <row r="369">
      <c r="A369" s="9" t="n"/>
      <c r="B369" s="10" t="n"/>
      <c r="C369" s="10" t="n"/>
      <c r="D369" s="11" t="n"/>
      <c r="E369" s="11" t="n"/>
      <c r="F369" s="10" t="n"/>
      <c r="G369" s="12">
        <f>IF(B369="","",IF(OR(COUNT(D369:E369)&lt;2,E369&lt;D369),"Проверьте даты",IF(OR(F369="Отменена",F369="Возвращена"),"",IF(SUMPRODUCT(($B$2:$B$500=B369)*($D$2:$D$500&lt;=E369)*($E$2:$E$500&gt;=D369)*($F$2:$F$500&lt;&gt;"Отменена")*($F$2:$F$500&lt;&gt;"Возвращена"))&gt;1,"Пересечение","ОК"))))</f>
        <v/>
      </c>
      <c r="H369" s="12">
        <f>IF(OR(B369="",D369=""),"",IF(AND(OR(F369="Выдана",F369="Возвращена"),SUMPRODUCT(($B$2:$B$500=B369)*($D$2:$D$500=D369)*(($F$2:$F$500="Выдана")+($F$2:$F$500="Возвращена")))&gt;1),"Дубль",""))</f>
        <v/>
      </c>
      <c r="I369" s="13">
        <f>IF(OR(B369="",COUNT(D369:E369)&lt;2,E369&lt;D369),"",IF(Настройки!$B$6=Настройки!$M$3,INT(E369)-INT(D369)+1,ROUNDUP(ROUND((E369-D369)*24,2)/24,0)))</f>
        <v/>
      </c>
      <c r="J369" s="14" t="n"/>
      <c r="K369" s="15">
        <f>IF(OR(I369="",J369=""),"",IF(F369="Отменена",0,ROUND(I369*J369,2)))</f>
        <v/>
      </c>
      <c r="L369" s="15">
        <f>IF(K369="","",ROUND(K369*Настройки!$B$5,2))</f>
        <v/>
      </c>
      <c r="M369" s="15">
        <f>IF(A369="","",SUMIFS(Начисления!$M$2:$M$1000,Начисления!$F$2:$F$1000,A369))</f>
        <v/>
      </c>
      <c r="N369" s="15">
        <f>IF(A369="","",SUM(K369:M369))</f>
        <v/>
      </c>
      <c r="O369" s="14" t="n"/>
      <c r="P369" s="15">
        <f>IF(A369="","",N369-O369)</f>
        <v/>
      </c>
      <c r="Q369" s="10" t="n"/>
      <c r="R369" s="10" t="n"/>
      <c r="S369" s="16">
        <f>IF(ISNUMBER(D369),D369+TIME(3,0,0),"")</f>
        <v/>
      </c>
      <c r="T369" s="10" t="n"/>
      <c r="U369" s="17">
        <f>IF(OR(B369="",COUNT(D369:E369)&lt;2,E369&lt;D369,F369="Отменена"),0,MAX(0,MIN(E369,Сводка!$B$4)-MAX(D369,Сводка!$B$2)))</f>
        <v/>
      </c>
    </row>
    <row r="370">
      <c r="A370" s="9" t="n"/>
      <c r="B370" s="10" t="n"/>
      <c r="C370" s="10" t="n"/>
      <c r="D370" s="11" t="n"/>
      <c r="E370" s="11" t="n"/>
      <c r="F370" s="10" t="n"/>
      <c r="G370" s="12">
        <f>IF(B370="","",IF(OR(COUNT(D370:E370)&lt;2,E370&lt;D370),"Проверьте даты",IF(OR(F370="Отменена",F370="Возвращена"),"",IF(SUMPRODUCT(($B$2:$B$500=B370)*($D$2:$D$500&lt;=E370)*($E$2:$E$500&gt;=D370)*($F$2:$F$500&lt;&gt;"Отменена")*($F$2:$F$500&lt;&gt;"Возвращена"))&gt;1,"Пересечение","ОК"))))</f>
        <v/>
      </c>
      <c r="H370" s="12">
        <f>IF(OR(B370="",D370=""),"",IF(AND(OR(F370="Выдана",F370="Возвращена"),SUMPRODUCT(($B$2:$B$500=B370)*($D$2:$D$500=D370)*(($F$2:$F$500="Выдана")+($F$2:$F$500="Возвращена")))&gt;1),"Дубль",""))</f>
        <v/>
      </c>
      <c r="I370" s="13">
        <f>IF(OR(B370="",COUNT(D370:E370)&lt;2,E370&lt;D370),"",IF(Настройки!$B$6=Настройки!$M$3,INT(E370)-INT(D370)+1,ROUNDUP(ROUND((E370-D370)*24,2)/24,0)))</f>
        <v/>
      </c>
      <c r="J370" s="14" t="n"/>
      <c r="K370" s="15">
        <f>IF(OR(I370="",J370=""),"",IF(F370="Отменена",0,ROUND(I370*J370,2)))</f>
        <v/>
      </c>
      <c r="L370" s="15">
        <f>IF(K370="","",ROUND(K370*Настройки!$B$5,2))</f>
        <v/>
      </c>
      <c r="M370" s="15">
        <f>IF(A370="","",SUMIFS(Начисления!$M$2:$M$1000,Начисления!$F$2:$F$1000,A370))</f>
        <v/>
      </c>
      <c r="N370" s="15">
        <f>IF(A370="","",SUM(K370:M370))</f>
        <v/>
      </c>
      <c r="O370" s="14" t="n"/>
      <c r="P370" s="15">
        <f>IF(A370="","",N370-O370)</f>
        <v/>
      </c>
      <c r="Q370" s="10" t="n"/>
      <c r="R370" s="10" t="n"/>
      <c r="S370" s="16">
        <f>IF(ISNUMBER(D370),D370+TIME(3,0,0),"")</f>
        <v/>
      </c>
      <c r="T370" s="10" t="n"/>
      <c r="U370" s="17">
        <f>IF(OR(B370="",COUNT(D370:E370)&lt;2,E370&lt;D370,F370="Отменена"),0,MAX(0,MIN(E370,Сводка!$B$4)-MAX(D370,Сводка!$B$2)))</f>
        <v/>
      </c>
    </row>
    <row r="371">
      <c r="A371" s="9" t="n"/>
      <c r="B371" s="10" t="n"/>
      <c r="C371" s="10" t="n"/>
      <c r="D371" s="11" t="n"/>
      <c r="E371" s="11" t="n"/>
      <c r="F371" s="10" t="n"/>
      <c r="G371" s="12">
        <f>IF(B371="","",IF(OR(COUNT(D371:E371)&lt;2,E371&lt;D371),"Проверьте даты",IF(OR(F371="Отменена",F371="Возвращена"),"",IF(SUMPRODUCT(($B$2:$B$500=B371)*($D$2:$D$500&lt;=E371)*($E$2:$E$500&gt;=D371)*($F$2:$F$500&lt;&gt;"Отменена")*($F$2:$F$500&lt;&gt;"Возвращена"))&gt;1,"Пересечение","ОК"))))</f>
        <v/>
      </c>
      <c r="H371" s="12">
        <f>IF(OR(B371="",D371=""),"",IF(AND(OR(F371="Выдана",F371="Возвращена"),SUMPRODUCT(($B$2:$B$500=B371)*($D$2:$D$500=D371)*(($F$2:$F$500="Выдана")+($F$2:$F$500="Возвращена")))&gt;1),"Дубль",""))</f>
        <v/>
      </c>
      <c r="I371" s="13">
        <f>IF(OR(B371="",COUNT(D371:E371)&lt;2,E371&lt;D371),"",IF(Настройки!$B$6=Настройки!$M$3,INT(E371)-INT(D371)+1,ROUNDUP(ROUND((E371-D371)*24,2)/24,0)))</f>
        <v/>
      </c>
      <c r="J371" s="14" t="n"/>
      <c r="K371" s="15">
        <f>IF(OR(I371="",J371=""),"",IF(F371="Отменена",0,ROUND(I371*J371,2)))</f>
        <v/>
      </c>
      <c r="L371" s="15">
        <f>IF(K371="","",ROUND(K371*Настройки!$B$5,2))</f>
        <v/>
      </c>
      <c r="M371" s="15">
        <f>IF(A371="","",SUMIFS(Начисления!$M$2:$M$1000,Начисления!$F$2:$F$1000,A371))</f>
        <v/>
      </c>
      <c r="N371" s="15">
        <f>IF(A371="","",SUM(K371:M371))</f>
        <v/>
      </c>
      <c r="O371" s="14" t="n"/>
      <c r="P371" s="15">
        <f>IF(A371="","",N371-O371)</f>
        <v/>
      </c>
      <c r="Q371" s="10" t="n"/>
      <c r="R371" s="10" t="n"/>
      <c r="S371" s="16">
        <f>IF(ISNUMBER(D371),D371+TIME(3,0,0),"")</f>
        <v/>
      </c>
      <c r="T371" s="10" t="n"/>
      <c r="U371" s="17">
        <f>IF(OR(B371="",COUNT(D371:E371)&lt;2,E371&lt;D371,F371="Отменена"),0,MAX(0,MIN(E371,Сводка!$B$4)-MAX(D371,Сводка!$B$2)))</f>
        <v/>
      </c>
    </row>
    <row r="372">
      <c r="A372" s="9" t="n"/>
      <c r="B372" s="10" t="n"/>
      <c r="C372" s="10" t="n"/>
      <c r="D372" s="11" t="n"/>
      <c r="E372" s="11" t="n"/>
      <c r="F372" s="10" t="n"/>
      <c r="G372" s="12">
        <f>IF(B372="","",IF(OR(COUNT(D372:E372)&lt;2,E372&lt;D372),"Проверьте даты",IF(OR(F372="Отменена",F372="Возвращена"),"",IF(SUMPRODUCT(($B$2:$B$500=B372)*($D$2:$D$500&lt;=E372)*($E$2:$E$500&gt;=D372)*($F$2:$F$500&lt;&gt;"Отменена")*($F$2:$F$500&lt;&gt;"Возвращена"))&gt;1,"Пересечение","ОК"))))</f>
        <v/>
      </c>
      <c r="H372" s="12">
        <f>IF(OR(B372="",D372=""),"",IF(AND(OR(F372="Выдана",F372="Возвращена"),SUMPRODUCT(($B$2:$B$500=B372)*($D$2:$D$500=D372)*(($F$2:$F$500="Выдана")+($F$2:$F$500="Возвращена")))&gt;1),"Дубль",""))</f>
        <v/>
      </c>
      <c r="I372" s="13">
        <f>IF(OR(B372="",COUNT(D372:E372)&lt;2,E372&lt;D372),"",IF(Настройки!$B$6=Настройки!$M$3,INT(E372)-INT(D372)+1,ROUNDUP(ROUND((E372-D372)*24,2)/24,0)))</f>
        <v/>
      </c>
      <c r="J372" s="14" t="n"/>
      <c r="K372" s="15">
        <f>IF(OR(I372="",J372=""),"",IF(F372="Отменена",0,ROUND(I372*J372,2)))</f>
        <v/>
      </c>
      <c r="L372" s="15">
        <f>IF(K372="","",ROUND(K372*Настройки!$B$5,2))</f>
        <v/>
      </c>
      <c r="M372" s="15">
        <f>IF(A372="","",SUMIFS(Начисления!$M$2:$M$1000,Начисления!$F$2:$F$1000,A372))</f>
        <v/>
      </c>
      <c r="N372" s="15">
        <f>IF(A372="","",SUM(K372:M372))</f>
        <v/>
      </c>
      <c r="O372" s="14" t="n"/>
      <c r="P372" s="15">
        <f>IF(A372="","",N372-O372)</f>
        <v/>
      </c>
      <c r="Q372" s="10" t="n"/>
      <c r="R372" s="10" t="n"/>
      <c r="S372" s="16">
        <f>IF(ISNUMBER(D372),D372+TIME(3,0,0),"")</f>
        <v/>
      </c>
      <c r="T372" s="10" t="n"/>
      <c r="U372" s="17">
        <f>IF(OR(B372="",COUNT(D372:E372)&lt;2,E372&lt;D372,F372="Отменена"),0,MAX(0,MIN(E372,Сводка!$B$4)-MAX(D372,Сводка!$B$2)))</f>
        <v/>
      </c>
    </row>
    <row r="373">
      <c r="A373" s="9" t="n"/>
      <c r="B373" s="10" t="n"/>
      <c r="C373" s="10" t="n"/>
      <c r="D373" s="11" t="n"/>
      <c r="E373" s="11" t="n"/>
      <c r="F373" s="10" t="n"/>
      <c r="G373" s="12">
        <f>IF(B373="","",IF(OR(COUNT(D373:E373)&lt;2,E373&lt;D373),"Проверьте даты",IF(OR(F373="Отменена",F373="Возвращена"),"",IF(SUMPRODUCT(($B$2:$B$500=B373)*($D$2:$D$500&lt;=E373)*($E$2:$E$500&gt;=D373)*($F$2:$F$500&lt;&gt;"Отменена")*($F$2:$F$500&lt;&gt;"Возвращена"))&gt;1,"Пересечение","ОК"))))</f>
        <v/>
      </c>
      <c r="H373" s="12">
        <f>IF(OR(B373="",D373=""),"",IF(AND(OR(F373="Выдана",F373="Возвращена"),SUMPRODUCT(($B$2:$B$500=B373)*($D$2:$D$500=D373)*(($F$2:$F$500="Выдана")+($F$2:$F$500="Возвращена")))&gt;1),"Дубль",""))</f>
        <v/>
      </c>
      <c r="I373" s="13">
        <f>IF(OR(B373="",COUNT(D373:E373)&lt;2,E373&lt;D373),"",IF(Настройки!$B$6=Настройки!$M$3,INT(E373)-INT(D373)+1,ROUNDUP(ROUND((E373-D373)*24,2)/24,0)))</f>
        <v/>
      </c>
      <c r="J373" s="14" t="n"/>
      <c r="K373" s="15">
        <f>IF(OR(I373="",J373=""),"",IF(F373="Отменена",0,ROUND(I373*J373,2)))</f>
        <v/>
      </c>
      <c r="L373" s="15">
        <f>IF(K373="","",ROUND(K373*Настройки!$B$5,2))</f>
        <v/>
      </c>
      <c r="M373" s="15">
        <f>IF(A373="","",SUMIFS(Начисления!$M$2:$M$1000,Начисления!$F$2:$F$1000,A373))</f>
        <v/>
      </c>
      <c r="N373" s="15">
        <f>IF(A373="","",SUM(K373:M373))</f>
        <v/>
      </c>
      <c r="O373" s="14" t="n"/>
      <c r="P373" s="15">
        <f>IF(A373="","",N373-O373)</f>
        <v/>
      </c>
      <c r="Q373" s="10" t="n"/>
      <c r="R373" s="10" t="n"/>
      <c r="S373" s="16">
        <f>IF(ISNUMBER(D373),D373+TIME(3,0,0),"")</f>
        <v/>
      </c>
      <c r="T373" s="10" t="n"/>
      <c r="U373" s="17">
        <f>IF(OR(B373="",COUNT(D373:E373)&lt;2,E373&lt;D373,F373="Отменена"),0,MAX(0,MIN(E373,Сводка!$B$4)-MAX(D373,Сводка!$B$2)))</f>
        <v/>
      </c>
    </row>
    <row r="374">
      <c r="A374" s="9" t="n"/>
      <c r="B374" s="10" t="n"/>
      <c r="C374" s="10" t="n"/>
      <c r="D374" s="11" t="n"/>
      <c r="E374" s="11" t="n"/>
      <c r="F374" s="10" t="n"/>
      <c r="G374" s="12">
        <f>IF(B374="","",IF(OR(COUNT(D374:E374)&lt;2,E374&lt;D374),"Проверьте даты",IF(OR(F374="Отменена",F374="Возвращена"),"",IF(SUMPRODUCT(($B$2:$B$500=B374)*($D$2:$D$500&lt;=E374)*($E$2:$E$500&gt;=D374)*($F$2:$F$500&lt;&gt;"Отменена")*($F$2:$F$500&lt;&gt;"Возвращена"))&gt;1,"Пересечение","ОК"))))</f>
        <v/>
      </c>
      <c r="H374" s="12">
        <f>IF(OR(B374="",D374=""),"",IF(AND(OR(F374="Выдана",F374="Возвращена"),SUMPRODUCT(($B$2:$B$500=B374)*($D$2:$D$500=D374)*(($F$2:$F$500="Выдана")+($F$2:$F$500="Возвращена")))&gt;1),"Дубль",""))</f>
        <v/>
      </c>
      <c r="I374" s="13">
        <f>IF(OR(B374="",COUNT(D374:E374)&lt;2,E374&lt;D374),"",IF(Настройки!$B$6=Настройки!$M$3,INT(E374)-INT(D374)+1,ROUNDUP(ROUND((E374-D374)*24,2)/24,0)))</f>
        <v/>
      </c>
      <c r="J374" s="14" t="n"/>
      <c r="K374" s="15">
        <f>IF(OR(I374="",J374=""),"",IF(F374="Отменена",0,ROUND(I374*J374,2)))</f>
        <v/>
      </c>
      <c r="L374" s="15">
        <f>IF(K374="","",ROUND(K374*Настройки!$B$5,2))</f>
        <v/>
      </c>
      <c r="M374" s="15">
        <f>IF(A374="","",SUMIFS(Начисления!$M$2:$M$1000,Начисления!$F$2:$F$1000,A374))</f>
        <v/>
      </c>
      <c r="N374" s="15">
        <f>IF(A374="","",SUM(K374:M374))</f>
        <v/>
      </c>
      <c r="O374" s="14" t="n"/>
      <c r="P374" s="15">
        <f>IF(A374="","",N374-O374)</f>
        <v/>
      </c>
      <c r="Q374" s="10" t="n"/>
      <c r="R374" s="10" t="n"/>
      <c r="S374" s="16">
        <f>IF(ISNUMBER(D374),D374+TIME(3,0,0),"")</f>
        <v/>
      </c>
      <c r="T374" s="10" t="n"/>
      <c r="U374" s="17">
        <f>IF(OR(B374="",COUNT(D374:E374)&lt;2,E374&lt;D374,F374="Отменена"),0,MAX(0,MIN(E374,Сводка!$B$4)-MAX(D374,Сводка!$B$2)))</f>
        <v/>
      </c>
    </row>
    <row r="375">
      <c r="A375" s="9" t="n"/>
      <c r="B375" s="10" t="n"/>
      <c r="C375" s="10" t="n"/>
      <c r="D375" s="11" t="n"/>
      <c r="E375" s="11" t="n"/>
      <c r="F375" s="10" t="n"/>
      <c r="G375" s="12">
        <f>IF(B375="","",IF(OR(COUNT(D375:E375)&lt;2,E375&lt;D375),"Проверьте даты",IF(OR(F375="Отменена",F375="Возвращена"),"",IF(SUMPRODUCT(($B$2:$B$500=B375)*($D$2:$D$500&lt;=E375)*($E$2:$E$500&gt;=D375)*($F$2:$F$500&lt;&gt;"Отменена")*($F$2:$F$500&lt;&gt;"Возвращена"))&gt;1,"Пересечение","ОК"))))</f>
        <v/>
      </c>
      <c r="H375" s="12">
        <f>IF(OR(B375="",D375=""),"",IF(AND(OR(F375="Выдана",F375="Возвращена"),SUMPRODUCT(($B$2:$B$500=B375)*($D$2:$D$500=D375)*(($F$2:$F$500="Выдана")+($F$2:$F$500="Возвращена")))&gt;1),"Дубль",""))</f>
        <v/>
      </c>
      <c r="I375" s="13">
        <f>IF(OR(B375="",COUNT(D375:E375)&lt;2,E375&lt;D375),"",IF(Настройки!$B$6=Настройки!$M$3,INT(E375)-INT(D375)+1,ROUNDUP(ROUND((E375-D375)*24,2)/24,0)))</f>
        <v/>
      </c>
      <c r="J375" s="14" t="n"/>
      <c r="K375" s="15">
        <f>IF(OR(I375="",J375=""),"",IF(F375="Отменена",0,ROUND(I375*J375,2)))</f>
        <v/>
      </c>
      <c r="L375" s="15">
        <f>IF(K375="","",ROUND(K375*Настройки!$B$5,2))</f>
        <v/>
      </c>
      <c r="M375" s="15">
        <f>IF(A375="","",SUMIFS(Начисления!$M$2:$M$1000,Начисления!$F$2:$F$1000,A375))</f>
        <v/>
      </c>
      <c r="N375" s="15">
        <f>IF(A375="","",SUM(K375:M375))</f>
        <v/>
      </c>
      <c r="O375" s="14" t="n"/>
      <c r="P375" s="15">
        <f>IF(A375="","",N375-O375)</f>
        <v/>
      </c>
      <c r="Q375" s="10" t="n"/>
      <c r="R375" s="10" t="n"/>
      <c r="S375" s="16">
        <f>IF(ISNUMBER(D375),D375+TIME(3,0,0),"")</f>
        <v/>
      </c>
      <c r="T375" s="10" t="n"/>
      <c r="U375" s="17">
        <f>IF(OR(B375="",COUNT(D375:E375)&lt;2,E375&lt;D375,F375="Отменена"),0,MAX(0,MIN(E375,Сводка!$B$4)-MAX(D375,Сводка!$B$2)))</f>
        <v/>
      </c>
    </row>
    <row r="376">
      <c r="A376" s="9" t="n"/>
      <c r="B376" s="10" t="n"/>
      <c r="C376" s="10" t="n"/>
      <c r="D376" s="11" t="n"/>
      <c r="E376" s="11" t="n"/>
      <c r="F376" s="10" t="n"/>
      <c r="G376" s="12">
        <f>IF(B376="","",IF(OR(COUNT(D376:E376)&lt;2,E376&lt;D376),"Проверьте даты",IF(OR(F376="Отменена",F376="Возвращена"),"",IF(SUMPRODUCT(($B$2:$B$500=B376)*($D$2:$D$500&lt;=E376)*($E$2:$E$500&gt;=D376)*($F$2:$F$500&lt;&gt;"Отменена")*($F$2:$F$500&lt;&gt;"Возвращена"))&gt;1,"Пересечение","ОК"))))</f>
        <v/>
      </c>
      <c r="H376" s="12">
        <f>IF(OR(B376="",D376=""),"",IF(AND(OR(F376="Выдана",F376="Возвращена"),SUMPRODUCT(($B$2:$B$500=B376)*($D$2:$D$500=D376)*(($F$2:$F$500="Выдана")+($F$2:$F$500="Возвращена")))&gt;1),"Дубль",""))</f>
        <v/>
      </c>
      <c r="I376" s="13">
        <f>IF(OR(B376="",COUNT(D376:E376)&lt;2,E376&lt;D376),"",IF(Настройки!$B$6=Настройки!$M$3,INT(E376)-INT(D376)+1,ROUNDUP(ROUND((E376-D376)*24,2)/24,0)))</f>
        <v/>
      </c>
      <c r="J376" s="14" t="n"/>
      <c r="K376" s="15">
        <f>IF(OR(I376="",J376=""),"",IF(F376="Отменена",0,ROUND(I376*J376,2)))</f>
        <v/>
      </c>
      <c r="L376" s="15">
        <f>IF(K376="","",ROUND(K376*Настройки!$B$5,2))</f>
        <v/>
      </c>
      <c r="M376" s="15">
        <f>IF(A376="","",SUMIFS(Начисления!$M$2:$M$1000,Начисления!$F$2:$F$1000,A376))</f>
        <v/>
      </c>
      <c r="N376" s="15">
        <f>IF(A376="","",SUM(K376:M376))</f>
        <v/>
      </c>
      <c r="O376" s="14" t="n"/>
      <c r="P376" s="15">
        <f>IF(A376="","",N376-O376)</f>
        <v/>
      </c>
      <c r="Q376" s="10" t="n"/>
      <c r="R376" s="10" t="n"/>
      <c r="S376" s="16">
        <f>IF(ISNUMBER(D376),D376+TIME(3,0,0),"")</f>
        <v/>
      </c>
      <c r="T376" s="10" t="n"/>
      <c r="U376" s="17">
        <f>IF(OR(B376="",COUNT(D376:E376)&lt;2,E376&lt;D376,F376="Отменена"),0,MAX(0,MIN(E376,Сводка!$B$4)-MAX(D376,Сводка!$B$2)))</f>
        <v/>
      </c>
    </row>
    <row r="377">
      <c r="A377" s="9" t="n"/>
      <c r="B377" s="10" t="n"/>
      <c r="C377" s="10" t="n"/>
      <c r="D377" s="11" t="n"/>
      <c r="E377" s="11" t="n"/>
      <c r="F377" s="10" t="n"/>
      <c r="G377" s="12">
        <f>IF(B377="","",IF(OR(COUNT(D377:E377)&lt;2,E377&lt;D377),"Проверьте даты",IF(OR(F377="Отменена",F377="Возвращена"),"",IF(SUMPRODUCT(($B$2:$B$500=B377)*($D$2:$D$500&lt;=E377)*($E$2:$E$500&gt;=D377)*($F$2:$F$500&lt;&gt;"Отменена")*($F$2:$F$500&lt;&gt;"Возвращена"))&gt;1,"Пересечение","ОК"))))</f>
        <v/>
      </c>
      <c r="H377" s="12">
        <f>IF(OR(B377="",D377=""),"",IF(AND(OR(F377="Выдана",F377="Возвращена"),SUMPRODUCT(($B$2:$B$500=B377)*($D$2:$D$500=D377)*(($F$2:$F$500="Выдана")+($F$2:$F$500="Возвращена")))&gt;1),"Дубль",""))</f>
        <v/>
      </c>
      <c r="I377" s="13">
        <f>IF(OR(B377="",COUNT(D377:E377)&lt;2,E377&lt;D377),"",IF(Настройки!$B$6=Настройки!$M$3,INT(E377)-INT(D377)+1,ROUNDUP(ROUND((E377-D377)*24,2)/24,0)))</f>
        <v/>
      </c>
      <c r="J377" s="14" t="n"/>
      <c r="K377" s="15">
        <f>IF(OR(I377="",J377=""),"",IF(F377="Отменена",0,ROUND(I377*J377,2)))</f>
        <v/>
      </c>
      <c r="L377" s="15">
        <f>IF(K377="","",ROUND(K377*Настройки!$B$5,2))</f>
        <v/>
      </c>
      <c r="M377" s="15">
        <f>IF(A377="","",SUMIFS(Начисления!$M$2:$M$1000,Начисления!$F$2:$F$1000,A377))</f>
        <v/>
      </c>
      <c r="N377" s="15">
        <f>IF(A377="","",SUM(K377:M377))</f>
        <v/>
      </c>
      <c r="O377" s="14" t="n"/>
      <c r="P377" s="15">
        <f>IF(A377="","",N377-O377)</f>
        <v/>
      </c>
      <c r="Q377" s="10" t="n"/>
      <c r="R377" s="10" t="n"/>
      <c r="S377" s="16">
        <f>IF(ISNUMBER(D377),D377+TIME(3,0,0),"")</f>
        <v/>
      </c>
      <c r="T377" s="10" t="n"/>
      <c r="U377" s="17">
        <f>IF(OR(B377="",COUNT(D377:E377)&lt;2,E377&lt;D377,F377="Отменена"),0,MAX(0,MIN(E377,Сводка!$B$4)-MAX(D377,Сводка!$B$2)))</f>
        <v/>
      </c>
    </row>
    <row r="378">
      <c r="A378" s="9" t="n"/>
      <c r="B378" s="10" t="n"/>
      <c r="C378" s="10" t="n"/>
      <c r="D378" s="11" t="n"/>
      <c r="E378" s="11" t="n"/>
      <c r="F378" s="10" t="n"/>
      <c r="G378" s="12">
        <f>IF(B378="","",IF(OR(COUNT(D378:E378)&lt;2,E378&lt;D378),"Проверьте даты",IF(OR(F378="Отменена",F378="Возвращена"),"",IF(SUMPRODUCT(($B$2:$B$500=B378)*($D$2:$D$500&lt;=E378)*($E$2:$E$500&gt;=D378)*($F$2:$F$500&lt;&gt;"Отменена")*($F$2:$F$500&lt;&gt;"Возвращена"))&gt;1,"Пересечение","ОК"))))</f>
        <v/>
      </c>
      <c r="H378" s="12">
        <f>IF(OR(B378="",D378=""),"",IF(AND(OR(F378="Выдана",F378="Возвращена"),SUMPRODUCT(($B$2:$B$500=B378)*($D$2:$D$500=D378)*(($F$2:$F$500="Выдана")+($F$2:$F$500="Возвращена")))&gt;1),"Дубль",""))</f>
        <v/>
      </c>
      <c r="I378" s="13">
        <f>IF(OR(B378="",COUNT(D378:E378)&lt;2,E378&lt;D378),"",IF(Настройки!$B$6=Настройки!$M$3,INT(E378)-INT(D378)+1,ROUNDUP(ROUND((E378-D378)*24,2)/24,0)))</f>
        <v/>
      </c>
      <c r="J378" s="14" t="n"/>
      <c r="K378" s="15">
        <f>IF(OR(I378="",J378=""),"",IF(F378="Отменена",0,ROUND(I378*J378,2)))</f>
        <v/>
      </c>
      <c r="L378" s="15">
        <f>IF(K378="","",ROUND(K378*Настройки!$B$5,2))</f>
        <v/>
      </c>
      <c r="M378" s="15">
        <f>IF(A378="","",SUMIFS(Начисления!$M$2:$M$1000,Начисления!$F$2:$F$1000,A378))</f>
        <v/>
      </c>
      <c r="N378" s="15">
        <f>IF(A378="","",SUM(K378:M378))</f>
        <v/>
      </c>
      <c r="O378" s="14" t="n"/>
      <c r="P378" s="15">
        <f>IF(A378="","",N378-O378)</f>
        <v/>
      </c>
      <c r="Q378" s="10" t="n"/>
      <c r="R378" s="10" t="n"/>
      <c r="S378" s="16">
        <f>IF(ISNUMBER(D378),D378+TIME(3,0,0),"")</f>
        <v/>
      </c>
      <c r="T378" s="10" t="n"/>
      <c r="U378" s="17">
        <f>IF(OR(B378="",COUNT(D378:E378)&lt;2,E378&lt;D378,F378="Отменена"),0,MAX(0,MIN(E378,Сводка!$B$4)-MAX(D378,Сводка!$B$2)))</f>
        <v/>
      </c>
    </row>
    <row r="379">
      <c r="A379" s="9" t="n"/>
      <c r="B379" s="10" t="n"/>
      <c r="C379" s="10" t="n"/>
      <c r="D379" s="11" t="n"/>
      <c r="E379" s="11" t="n"/>
      <c r="F379" s="10" t="n"/>
      <c r="G379" s="12">
        <f>IF(B379="","",IF(OR(COUNT(D379:E379)&lt;2,E379&lt;D379),"Проверьте даты",IF(OR(F379="Отменена",F379="Возвращена"),"",IF(SUMPRODUCT(($B$2:$B$500=B379)*($D$2:$D$500&lt;=E379)*($E$2:$E$500&gt;=D379)*($F$2:$F$500&lt;&gt;"Отменена")*($F$2:$F$500&lt;&gt;"Возвращена"))&gt;1,"Пересечение","ОК"))))</f>
        <v/>
      </c>
      <c r="H379" s="12">
        <f>IF(OR(B379="",D379=""),"",IF(AND(OR(F379="Выдана",F379="Возвращена"),SUMPRODUCT(($B$2:$B$500=B379)*($D$2:$D$500=D379)*(($F$2:$F$500="Выдана")+($F$2:$F$500="Возвращена")))&gt;1),"Дубль",""))</f>
        <v/>
      </c>
      <c r="I379" s="13">
        <f>IF(OR(B379="",COUNT(D379:E379)&lt;2,E379&lt;D379),"",IF(Настройки!$B$6=Настройки!$M$3,INT(E379)-INT(D379)+1,ROUNDUP(ROUND((E379-D379)*24,2)/24,0)))</f>
        <v/>
      </c>
      <c r="J379" s="14" t="n"/>
      <c r="K379" s="15">
        <f>IF(OR(I379="",J379=""),"",IF(F379="Отменена",0,ROUND(I379*J379,2)))</f>
        <v/>
      </c>
      <c r="L379" s="15">
        <f>IF(K379="","",ROUND(K379*Настройки!$B$5,2))</f>
        <v/>
      </c>
      <c r="M379" s="15">
        <f>IF(A379="","",SUMIFS(Начисления!$M$2:$M$1000,Начисления!$F$2:$F$1000,A379))</f>
        <v/>
      </c>
      <c r="N379" s="15">
        <f>IF(A379="","",SUM(K379:M379))</f>
        <v/>
      </c>
      <c r="O379" s="14" t="n"/>
      <c r="P379" s="15">
        <f>IF(A379="","",N379-O379)</f>
        <v/>
      </c>
      <c r="Q379" s="10" t="n"/>
      <c r="R379" s="10" t="n"/>
      <c r="S379" s="16">
        <f>IF(ISNUMBER(D379),D379+TIME(3,0,0),"")</f>
        <v/>
      </c>
      <c r="T379" s="10" t="n"/>
      <c r="U379" s="17">
        <f>IF(OR(B379="",COUNT(D379:E379)&lt;2,E379&lt;D379,F379="Отменена"),0,MAX(0,MIN(E379,Сводка!$B$4)-MAX(D379,Сводка!$B$2)))</f>
        <v/>
      </c>
    </row>
    <row r="380">
      <c r="A380" s="9" t="n"/>
      <c r="B380" s="10" t="n"/>
      <c r="C380" s="10" t="n"/>
      <c r="D380" s="11" t="n"/>
      <c r="E380" s="11" t="n"/>
      <c r="F380" s="10" t="n"/>
      <c r="G380" s="12">
        <f>IF(B380="","",IF(OR(COUNT(D380:E380)&lt;2,E380&lt;D380),"Проверьте даты",IF(OR(F380="Отменена",F380="Возвращена"),"",IF(SUMPRODUCT(($B$2:$B$500=B380)*($D$2:$D$500&lt;=E380)*($E$2:$E$500&gt;=D380)*($F$2:$F$500&lt;&gt;"Отменена")*($F$2:$F$500&lt;&gt;"Возвращена"))&gt;1,"Пересечение","ОК"))))</f>
        <v/>
      </c>
      <c r="H380" s="12">
        <f>IF(OR(B380="",D380=""),"",IF(AND(OR(F380="Выдана",F380="Возвращена"),SUMPRODUCT(($B$2:$B$500=B380)*($D$2:$D$500=D380)*(($F$2:$F$500="Выдана")+($F$2:$F$500="Возвращена")))&gt;1),"Дубль",""))</f>
        <v/>
      </c>
      <c r="I380" s="13">
        <f>IF(OR(B380="",COUNT(D380:E380)&lt;2,E380&lt;D380),"",IF(Настройки!$B$6=Настройки!$M$3,INT(E380)-INT(D380)+1,ROUNDUP(ROUND((E380-D380)*24,2)/24,0)))</f>
        <v/>
      </c>
      <c r="J380" s="14" t="n"/>
      <c r="K380" s="15">
        <f>IF(OR(I380="",J380=""),"",IF(F380="Отменена",0,ROUND(I380*J380,2)))</f>
        <v/>
      </c>
      <c r="L380" s="15">
        <f>IF(K380="","",ROUND(K380*Настройки!$B$5,2))</f>
        <v/>
      </c>
      <c r="M380" s="15">
        <f>IF(A380="","",SUMIFS(Начисления!$M$2:$M$1000,Начисления!$F$2:$F$1000,A380))</f>
        <v/>
      </c>
      <c r="N380" s="15">
        <f>IF(A380="","",SUM(K380:M380))</f>
        <v/>
      </c>
      <c r="O380" s="14" t="n"/>
      <c r="P380" s="15">
        <f>IF(A380="","",N380-O380)</f>
        <v/>
      </c>
      <c r="Q380" s="10" t="n"/>
      <c r="R380" s="10" t="n"/>
      <c r="S380" s="16">
        <f>IF(ISNUMBER(D380),D380+TIME(3,0,0),"")</f>
        <v/>
      </c>
      <c r="T380" s="10" t="n"/>
      <c r="U380" s="17">
        <f>IF(OR(B380="",COUNT(D380:E380)&lt;2,E380&lt;D380,F380="Отменена"),0,MAX(0,MIN(E380,Сводка!$B$4)-MAX(D380,Сводка!$B$2)))</f>
        <v/>
      </c>
    </row>
    <row r="381">
      <c r="A381" s="9" t="n"/>
      <c r="B381" s="10" t="n"/>
      <c r="C381" s="10" t="n"/>
      <c r="D381" s="11" t="n"/>
      <c r="E381" s="11" t="n"/>
      <c r="F381" s="10" t="n"/>
      <c r="G381" s="12">
        <f>IF(B381="","",IF(OR(COUNT(D381:E381)&lt;2,E381&lt;D381),"Проверьте даты",IF(OR(F381="Отменена",F381="Возвращена"),"",IF(SUMPRODUCT(($B$2:$B$500=B381)*($D$2:$D$500&lt;=E381)*($E$2:$E$500&gt;=D381)*($F$2:$F$500&lt;&gt;"Отменена")*($F$2:$F$500&lt;&gt;"Возвращена"))&gt;1,"Пересечение","ОК"))))</f>
        <v/>
      </c>
      <c r="H381" s="12">
        <f>IF(OR(B381="",D381=""),"",IF(AND(OR(F381="Выдана",F381="Возвращена"),SUMPRODUCT(($B$2:$B$500=B381)*($D$2:$D$500=D381)*(($F$2:$F$500="Выдана")+($F$2:$F$500="Возвращена")))&gt;1),"Дубль",""))</f>
        <v/>
      </c>
      <c r="I381" s="13">
        <f>IF(OR(B381="",COUNT(D381:E381)&lt;2,E381&lt;D381),"",IF(Настройки!$B$6=Настройки!$M$3,INT(E381)-INT(D381)+1,ROUNDUP(ROUND((E381-D381)*24,2)/24,0)))</f>
        <v/>
      </c>
      <c r="J381" s="14" t="n"/>
      <c r="K381" s="15">
        <f>IF(OR(I381="",J381=""),"",IF(F381="Отменена",0,ROUND(I381*J381,2)))</f>
        <v/>
      </c>
      <c r="L381" s="15">
        <f>IF(K381="","",ROUND(K381*Настройки!$B$5,2))</f>
        <v/>
      </c>
      <c r="M381" s="15">
        <f>IF(A381="","",SUMIFS(Начисления!$M$2:$M$1000,Начисления!$F$2:$F$1000,A381))</f>
        <v/>
      </c>
      <c r="N381" s="15">
        <f>IF(A381="","",SUM(K381:M381))</f>
        <v/>
      </c>
      <c r="O381" s="14" t="n"/>
      <c r="P381" s="15">
        <f>IF(A381="","",N381-O381)</f>
        <v/>
      </c>
      <c r="Q381" s="10" t="n"/>
      <c r="R381" s="10" t="n"/>
      <c r="S381" s="16">
        <f>IF(ISNUMBER(D381),D381+TIME(3,0,0),"")</f>
        <v/>
      </c>
      <c r="T381" s="10" t="n"/>
      <c r="U381" s="17">
        <f>IF(OR(B381="",COUNT(D381:E381)&lt;2,E381&lt;D381,F381="Отменена"),0,MAX(0,MIN(E381,Сводка!$B$4)-MAX(D381,Сводка!$B$2)))</f>
        <v/>
      </c>
    </row>
    <row r="382">
      <c r="A382" s="9" t="n"/>
      <c r="B382" s="10" t="n"/>
      <c r="C382" s="10" t="n"/>
      <c r="D382" s="11" t="n"/>
      <c r="E382" s="11" t="n"/>
      <c r="F382" s="10" t="n"/>
      <c r="G382" s="12">
        <f>IF(B382="","",IF(OR(COUNT(D382:E382)&lt;2,E382&lt;D382),"Проверьте даты",IF(OR(F382="Отменена",F382="Возвращена"),"",IF(SUMPRODUCT(($B$2:$B$500=B382)*($D$2:$D$500&lt;=E382)*($E$2:$E$500&gt;=D382)*($F$2:$F$500&lt;&gt;"Отменена")*($F$2:$F$500&lt;&gt;"Возвращена"))&gt;1,"Пересечение","ОК"))))</f>
        <v/>
      </c>
      <c r="H382" s="12">
        <f>IF(OR(B382="",D382=""),"",IF(AND(OR(F382="Выдана",F382="Возвращена"),SUMPRODUCT(($B$2:$B$500=B382)*($D$2:$D$500=D382)*(($F$2:$F$500="Выдана")+($F$2:$F$500="Возвращена")))&gt;1),"Дубль",""))</f>
        <v/>
      </c>
      <c r="I382" s="13">
        <f>IF(OR(B382="",COUNT(D382:E382)&lt;2,E382&lt;D382),"",IF(Настройки!$B$6=Настройки!$M$3,INT(E382)-INT(D382)+1,ROUNDUP(ROUND((E382-D382)*24,2)/24,0)))</f>
        <v/>
      </c>
      <c r="J382" s="14" t="n"/>
      <c r="K382" s="15">
        <f>IF(OR(I382="",J382=""),"",IF(F382="Отменена",0,ROUND(I382*J382,2)))</f>
        <v/>
      </c>
      <c r="L382" s="15">
        <f>IF(K382="","",ROUND(K382*Настройки!$B$5,2))</f>
        <v/>
      </c>
      <c r="M382" s="15">
        <f>IF(A382="","",SUMIFS(Начисления!$M$2:$M$1000,Начисления!$F$2:$F$1000,A382))</f>
        <v/>
      </c>
      <c r="N382" s="15">
        <f>IF(A382="","",SUM(K382:M382))</f>
        <v/>
      </c>
      <c r="O382" s="14" t="n"/>
      <c r="P382" s="15">
        <f>IF(A382="","",N382-O382)</f>
        <v/>
      </c>
      <c r="Q382" s="10" t="n"/>
      <c r="R382" s="10" t="n"/>
      <c r="S382" s="16">
        <f>IF(ISNUMBER(D382),D382+TIME(3,0,0),"")</f>
        <v/>
      </c>
      <c r="T382" s="10" t="n"/>
      <c r="U382" s="17">
        <f>IF(OR(B382="",COUNT(D382:E382)&lt;2,E382&lt;D382,F382="Отменена"),0,MAX(0,MIN(E382,Сводка!$B$4)-MAX(D382,Сводка!$B$2)))</f>
        <v/>
      </c>
    </row>
    <row r="383">
      <c r="A383" s="9" t="n"/>
      <c r="B383" s="10" t="n"/>
      <c r="C383" s="10" t="n"/>
      <c r="D383" s="11" t="n"/>
      <c r="E383" s="11" t="n"/>
      <c r="F383" s="10" t="n"/>
      <c r="G383" s="12">
        <f>IF(B383="","",IF(OR(COUNT(D383:E383)&lt;2,E383&lt;D383),"Проверьте даты",IF(OR(F383="Отменена",F383="Возвращена"),"",IF(SUMPRODUCT(($B$2:$B$500=B383)*($D$2:$D$500&lt;=E383)*($E$2:$E$500&gt;=D383)*($F$2:$F$500&lt;&gt;"Отменена")*($F$2:$F$500&lt;&gt;"Возвращена"))&gt;1,"Пересечение","ОК"))))</f>
        <v/>
      </c>
      <c r="H383" s="12">
        <f>IF(OR(B383="",D383=""),"",IF(AND(OR(F383="Выдана",F383="Возвращена"),SUMPRODUCT(($B$2:$B$500=B383)*($D$2:$D$500=D383)*(($F$2:$F$500="Выдана")+($F$2:$F$500="Возвращена")))&gt;1),"Дубль",""))</f>
        <v/>
      </c>
      <c r="I383" s="13">
        <f>IF(OR(B383="",COUNT(D383:E383)&lt;2,E383&lt;D383),"",IF(Настройки!$B$6=Настройки!$M$3,INT(E383)-INT(D383)+1,ROUNDUP(ROUND((E383-D383)*24,2)/24,0)))</f>
        <v/>
      </c>
      <c r="J383" s="14" t="n"/>
      <c r="K383" s="15">
        <f>IF(OR(I383="",J383=""),"",IF(F383="Отменена",0,ROUND(I383*J383,2)))</f>
        <v/>
      </c>
      <c r="L383" s="15">
        <f>IF(K383="","",ROUND(K383*Настройки!$B$5,2))</f>
        <v/>
      </c>
      <c r="M383" s="15">
        <f>IF(A383="","",SUMIFS(Начисления!$M$2:$M$1000,Начисления!$F$2:$F$1000,A383))</f>
        <v/>
      </c>
      <c r="N383" s="15">
        <f>IF(A383="","",SUM(K383:M383))</f>
        <v/>
      </c>
      <c r="O383" s="14" t="n"/>
      <c r="P383" s="15">
        <f>IF(A383="","",N383-O383)</f>
        <v/>
      </c>
      <c r="Q383" s="10" t="n"/>
      <c r="R383" s="10" t="n"/>
      <c r="S383" s="16">
        <f>IF(ISNUMBER(D383),D383+TIME(3,0,0),"")</f>
        <v/>
      </c>
      <c r="T383" s="10" t="n"/>
      <c r="U383" s="17">
        <f>IF(OR(B383="",COUNT(D383:E383)&lt;2,E383&lt;D383,F383="Отменена"),0,MAX(0,MIN(E383,Сводка!$B$4)-MAX(D383,Сводка!$B$2)))</f>
        <v/>
      </c>
    </row>
    <row r="384">
      <c r="A384" s="9" t="n"/>
      <c r="B384" s="10" t="n"/>
      <c r="C384" s="10" t="n"/>
      <c r="D384" s="11" t="n"/>
      <c r="E384" s="11" t="n"/>
      <c r="F384" s="10" t="n"/>
      <c r="G384" s="12">
        <f>IF(B384="","",IF(OR(COUNT(D384:E384)&lt;2,E384&lt;D384),"Проверьте даты",IF(OR(F384="Отменена",F384="Возвращена"),"",IF(SUMPRODUCT(($B$2:$B$500=B384)*($D$2:$D$500&lt;=E384)*($E$2:$E$500&gt;=D384)*($F$2:$F$500&lt;&gt;"Отменена")*($F$2:$F$500&lt;&gt;"Возвращена"))&gt;1,"Пересечение","ОК"))))</f>
        <v/>
      </c>
      <c r="H384" s="12">
        <f>IF(OR(B384="",D384=""),"",IF(AND(OR(F384="Выдана",F384="Возвращена"),SUMPRODUCT(($B$2:$B$500=B384)*($D$2:$D$500=D384)*(($F$2:$F$500="Выдана")+($F$2:$F$500="Возвращена")))&gt;1),"Дубль",""))</f>
        <v/>
      </c>
      <c r="I384" s="13">
        <f>IF(OR(B384="",COUNT(D384:E384)&lt;2,E384&lt;D384),"",IF(Настройки!$B$6=Настройки!$M$3,INT(E384)-INT(D384)+1,ROUNDUP(ROUND((E384-D384)*24,2)/24,0)))</f>
        <v/>
      </c>
      <c r="J384" s="14" t="n"/>
      <c r="K384" s="15">
        <f>IF(OR(I384="",J384=""),"",IF(F384="Отменена",0,ROUND(I384*J384,2)))</f>
        <v/>
      </c>
      <c r="L384" s="15">
        <f>IF(K384="","",ROUND(K384*Настройки!$B$5,2))</f>
        <v/>
      </c>
      <c r="M384" s="15">
        <f>IF(A384="","",SUMIFS(Начисления!$M$2:$M$1000,Начисления!$F$2:$F$1000,A384))</f>
        <v/>
      </c>
      <c r="N384" s="15">
        <f>IF(A384="","",SUM(K384:M384))</f>
        <v/>
      </c>
      <c r="O384" s="14" t="n"/>
      <c r="P384" s="15">
        <f>IF(A384="","",N384-O384)</f>
        <v/>
      </c>
      <c r="Q384" s="10" t="n"/>
      <c r="R384" s="10" t="n"/>
      <c r="S384" s="16">
        <f>IF(ISNUMBER(D384),D384+TIME(3,0,0),"")</f>
        <v/>
      </c>
      <c r="T384" s="10" t="n"/>
      <c r="U384" s="17">
        <f>IF(OR(B384="",COUNT(D384:E384)&lt;2,E384&lt;D384,F384="Отменена"),0,MAX(0,MIN(E384,Сводка!$B$4)-MAX(D384,Сводка!$B$2)))</f>
        <v/>
      </c>
    </row>
    <row r="385">
      <c r="A385" s="9" t="n"/>
      <c r="B385" s="10" t="n"/>
      <c r="C385" s="10" t="n"/>
      <c r="D385" s="11" t="n"/>
      <c r="E385" s="11" t="n"/>
      <c r="F385" s="10" t="n"/>
      <c r="G385" s="12">
        <f>IF(B385="","",IF(OR(COUNT(D385:E385)&lt;2,E385&lt;D385),"Проверьте даты",IF(OR(F385="Отменена",F385="Возвращена"),"",IF(SUMPRODUCT(($B$2:$B$500=B385)*($D$2:$D$500&lt;=E385)*($E$2:$E$500&gt;=D385)*($F$2:$F$500&lt;&gt;"Отменена")*($F$2:$F$500&lt;&gt;"Возвращена"))&gt;1,"Пересечение","ОК"))))</f>
        <v/>
      </c>
      <c r="H385" s="12">
        <f>IF(OR(B385="",D385=""),"",IF(AND(OR(F385="Выдана",F385="Возвращена"),SUMPRODUCT(($B$2:$B$500=B385)*($D$2:$D$500=D385)*(($F$2:$F$500="Выдана")+($F$2:$F$500="Возвращена")))&gt;1),"Дубль",""))</f>
        <v/>
      </c>
      <c r="I385" s="13">
        <f>IF(OR(B385="",COUNT(D385:E385)&lt;2,E385&lt;D385),"",IF(Настройки!$B$6=Настройки!$M$3,INT(E385)-INT(D385)+1,ROUNDUP(ROUND((E385-D385)*24,2)/24,0)))</f>
        <v/>
      </c>
      <c r="J385" s="14" t="n"/>
      <c r="K385" s="15">
        <f>IF(OR(I385="",J385=""),"",IF(F385="Отменена",0,ROUND(I385*J385,2)))</f>
        <v/>
      </c>
      <c r="L385" s="15">
        <f>IF(K385="","",ROUND(K385*Настройки!$B$5,2))</f>
        <v/>
      </c>
      <c r="M385" s="15">
        <f>IF(A385="","",SUMIFS(Начисления!$M$2:$M$1000,Начисления!$F$2:$F$1000,A385))</f>
        <v/>
      </c>
      <c r="N385" s="15">
        <f>IF(A385="","",SUM(K385:M385))</f>
        <v/>
      </c>
      <c r="O385" s="14" t="n"/>
      <c r="P385" s="15">
        <f>IF(A385="","",N385-O385)</f>
        <v/>
      </c>
      <c r="Q385" s="10" t="n"/>
      <c r="R385" s="10" t="n"/>
      <c r="S385" s="16">
        <f>IF(ISNUMBER(D385),D385+TIME(3,0,0),"")</f>
        <v/>
      </c>
      <c r="T385" s="10" t="n"/>
      <c r="U385" s="17">
        <f>IF(OR(B385="",COUNT(D385:E385)&lt;2,E385&lt;D385,F385="Отменена"),0,MAX(0,MIN(E385,Сводка!$B$4)-MAX(D385,Сводка!$B$2)))</f>
        <v/>
      </c>
    </row>
    <row r="386">
      <c r="A386" s="9" t="n"/>
      <c r="B386" s="10" t="n"/>
      <c r="C386" s="10" t="n"/>
      <c r="D386" s="11" t="n"/>
      <c r="E386" s="11" t="n"/>
      <c r="F386" s="10" t="n"/>
      <c r="G386" s="12">
        <f>IF(B386="","",IF(OR(COUNT(D386:E386)&lt;2,E386&lt;D386),"Проверьте даты",IF(OR(F386="Отменена",F386="Возвращена"),"",IF(SUMPRODUCT(($B$2:$B$500=B386)*($D$2:$D$500&lt;=E386)*($E$2:$E$500&gt;=D386)*($F$2:$F$500&lt;&gt;"Отменена")*($F$2:$F$500&lt;&gt;"Возвращена"))&gt;1,"Пересечение","ОК"))))</f>
        <v/>
      </c>
      <c r="H386" s="12">
        <f>IF(OR(B386="",D386=""),"",IF(AND(OR(F386="Выдана",F386="Возвращена"),SUMPRODUCT(($B$2:$B$500=B386)*($D$2:$D$500=D386)*(($F$2:$F$500="Выдана")+($F$2:$F$500="Возвращена")))&gt;1),"Дубль",""))</f>
        <v/>
      </c>
      <c r="I386" s="13">
        <f>IF(OR(B386="",COUNT(D386:E386)&lt;2,E386&lt;D386),"",IF(Настройки!$B$6=Настройки!$M$3,INT(E386)-INT(D386)+1,ROUNDUP(ROUND((E386-D386)*24,2)/24,0)))</f>
        <v/>
      </c>
      <c r="J386" s="14" t="n"/>
      <c r="K386" s="15">
        <f>IF(OR(I386="",J386=""),"",IF(F386="Отменена",0,ROUND(I386*J386,2)))</f>
        <v/>
      </c>
      <c r="L386" s="15">
        <f>IF(K386="","",ROUND(K386*Настройки!$B$5,2))</f>
        <v/>
      </c>
      <c r="M386" s="15">
        <f>IF(A386="","",SUMIFS(Начисления!$M$2:$M$1000,Начисления!$F$2:$F$1000,A386))</f>
        <v/>
      </c>
      <c r="N386" s="15">
        <f>IF(A386="","",SUM(K386:M386))</f>
        <v/>
      </c>
      <c r="O386" s="14" t="n"/>
      <c r="P386" s="15">
        <f>IF(A386="","",N386-O386)</f>
        <v/>
      </c>
      <c r="Q386" s="10" t="n"/>
      <c r="R386" s="10" t="n"/>
      <c r="S386" s="16">
        <f>IF(ISNUMBER(D386),D386+TIME(3,0,0),"")</f>
        <v/>
      </c>
      <c r="T386" s="10" t="n"/>
      <c r="U386" s="17">
        <f>IF(OR(B386="",COUNT(D386:E386)&lt;2,E386&lt;D386,F386="Отменена"),0,MAX(0,MIN(E386,Сводка!$B$4)-MAX(D386,Сводка!$B$2)))</f>
        <v/>
      </c>
    </row>
    <row r="387">
      <c r="A387" s="9" t="n"/>
      <c r="B387" s="10" t="n"/>
      <c r="C387" s="10" t="n"/>
      <c r="D387" s="11" t="n"/>
      <c r="E387" s="11" t="n"/>
      <c r="F387" s="10" t="n"/>
      <c r="G387" s="12">
        <f>IF(B387="","",IF(OR(COUNT(D387:E387)&lt;2,E387&lt;D387),"Проверьте даты",IF(OR(F387="Отменена",F387="Возвращена"),"",IF(SUMPRODUCT(($B$2:$B$500=B387)*($D$2:$D$500&lt;=E387)*($E$2:$E$500&gt;=D387)*($F$2:$F$500&lt;&gt;"Отменена")*($F$2:$F$500&lt;&gt;"Возвращена"))&gt;1,"Пересечение","ОК"))))</f>
        <v/>
      </c>
      <c r="H387" s="12">
        <f>IF(OR(B387="",D387=""),"",IF(AND(OR(F387="Выдана",F387="Возвращена"),SUMPRODUCT(($B$2:$B$500=B387)*($D$2:$D$500=D387)*(($F$2:$F$500="Выдана")+($F$2:$F$500="Возвращена")))&gt;1),"Дубль",""))</f>
        <v/>
      </c>
      <c r="I387" s="13">
        <f>IF(OR(B387="",COUNT(D387:E387)&lt;2,E387&lt;D387),"",IF(Настройки!$B$6=Настройки!$M$3,INT(E387)-INT(D387)+1,ROUNDUP(ROUND((E387-D387)*24,2)/24,0)))</f>
        <v/>
      </c>
      <c r="J387" s="14" t="n"/>
      <c r="K387" s="15">
        <f>IF(OR(I387="",J387=""),"",IF(F387="Отменена",0,ROUND(I387*J387,2)))</f>
        <v/>
      </c>
      <c r="L387" s="15">
        <f>IF(K387="","",ROUND(K387*Настройки!$B$5,2))</f>
        <v/>
      </c>
      <c r="M387" s="15">
        <f>IF(A387="","",SUMIFS(Начисления!$M$2:$M$1000,Начисления!$F$2:$F$1000,A387))</f>
        <v/>
      </c>
      <c r="N387" s="15">
        <f>IF(A387="","",SUM(K387:M387))</f>
        <v/>
      </c>
      <c r="O387" s="14" t="n"/>
      <c r="P387" s="15">
        <f>IF(A387="","",N387-O387)</f>
        <v/>
      </c>
      <c r="Q387" s="10" t="n"/>
      <c r="R387" s="10" t="n"/>
      <c r="S387" s="16">
        <f>IF(ISNUMBER(D387),D387+TIME(3,0,0),"")</f>
        <v/>
      </c>
      <c r="T387" s="10" t="n"/>
      <c r="U387" s="17">
        <f>IF(OR(B387="",COUNT(D387:E387)&lt;2,E387&lt;D387,F387="Отменена"),0,MAX(0,MIN(E387,Сводка!$B$4)-MAX(D387,Сводка!$B$2)))</f>
        <v/>
      </c>
    </row>
    <row r="388">
      <c r="A388" s="9" t="n"/>
      <c r="B388" s="10" t="n"/>
      <c r="C388" s="10" t="n"/>
      <c r="D388" s="11" t="n"/>
      <c r="E388" s="11" t="n"/>
      <c r="F388" s="10" t="n"/>
      <c r="G388" s="12">
        <f>IF(B388="","",IF(OR(COUNT(D388:E388)&lt;2,E388&lt;D388),"Проверьте даты",IF(OR(F388="Отменена",F388="Возвращена"),"",IF(SUMPRODUCT(($B$2:$B$500=B388)*($D$2:$D$500&lt;=E388)*($E$2:$E$500&gt;=D388)*($F$2:$F$500&lt;&gt;"Отменена")*($F$2:$F$500&lt;&gt;"Возвращена"))&gt;1,"Пересечение","ОК"))))</f>
        <v/>
      </c>
      <c r="H388" s="12">
        <f>IF(OR(B388="",D388=""),"",IF(AND(OR(F388="Выдана",F388="Возвращена"),SUMPRODUCT(($B$2:$B$500=B388)*($D$2:$D$500=D388)*(($F$2:$F$500="Выдана")+($F$2:$F$500="Возвращена")))&gt;1),"Дубль",""))</f>
        <v/>
      </c>
      <c r="I388" s="13">
        <f>IF(OR(B388="",COUNT(D388:E388)&lt;2,E388&lt;D388),"",IF(Настройки!$B$6=Настройки!$M$3,INT(E388)-INT(D388)+1,ROUNDUP(ROUND((E388-D388)*24,2)/24,0)))</f>
        <v/>
      </c>
      <c r="J388" s="14" t="n"/>
      <c r="K388" s="15">
        <f>IF(OR(I388="",J388=""),"",IF(F388="Отменена",0,ROUND(I388*J388,2)))</f>
        <v/>
      </c>
      <c r="L388" s="15">
        <f>IF(K388="","",ROUND(K388*Настройки!$B$5,2))</f>
        <v/>
      </c>
      <c r="M388" s="15">
        <f>IF(A388="","",SUMIFS(Начисления!$M$2:$M$1000,Начисления!$F$2:$F$1000,A388))</f>
        <v/>
      </c>
      <c r="N388" s="15">
        <f>IF(A388="","",SUM(K388:M388))</f>
        <v/>
      </c>
      <c r="O388" s="14" t="n"/>
      <c r="P388" s="15">
        <f>IF(A388="","",N388-O388)</f>
        <v/>
      </c>
      <c r="Q388" s="10" t="n"/>
      <c r="R388" s="10" t="n"/>
      <c r="S388" s="16">
        <f>IF(ISNUMBER(D388),D388+TIME(3,0,0),"")</f>
        <v/>
      </c>
      <c r="T388" s="10" t="n"/>
      <c r="U388" s="17">
        <f>IF(OR(B388="",COUNT(D388:E388)&lt;2,E388&lt;D388,F388="Отменена"),0,MAX(0,MIN(E388,Сводка!$B$4)-MAX(D388,Сводка!$B$2)))</f>
        <v/>
      </c>
    </row>
    <row r="389">
      <c r="A389" s="9" t="n"/>
      <c r="B389" s="10" t="n"/>
      <c r="C389" s="10" t="n"/>
      <c r="D389" s="11" t="n"/>
      <c r="E389" s="11" t="n"/>
      <c r="F389" s="10" t="n"/>
      <c r="G389" s="12">
        <f>IF(B389="","",IF(OR(COUNT(D389:E389)&lt;2,E389&lt;D389),"Проверьте даты",IF(OR(F389="Отменена",F389="Возвращена"),"",IF(SUMPRODUCT(($B$2:$B$500=B389)*($D$2:$D$500&lt;=E389)*($E$2:$E$500&gt;=D389)*($F$2:$F$500&lt;&gt;"Отменена")*($F$2:$F$500&lt;&gt;"Возвращена"))&gt;1,"Пересечение","ОК"))))</f>
        <v/>
      </c>
      <c r="H389" s="12">
        <f>IF(OR(B389="",D389=""),"",IF(AND(OR(F389="Выдана",F389="Возвращена"),SUMPRODUCT(($B$2:$B$500=B389)*($D$2:$D$500=D389)*(($F$2:$F$500="Выдана")+($F$2:$F$500="Возвращена")))&gt;1),"Дубль",""))</f>
        <v/>
      </c>
      <c r="I389" s="13">
        <f>IF(OR(B389="",COUNT(D389:E389)&lt;2,E389&lt;D389),"",IF(Настройки!$B$6=Настройки!$M$3,INT(E389)-INT(D389)+1,ROUNDUP(ROUND((E389-D389)*24,2)/24,0)))</f>
        <v/>
      </c>
      <c r="J389" s="14" t="n"/>
      <c r="K389" s="15">
        <f>IF(OR(I389="",J389=""),"",IF(F389="Отменена",0,ROUND(I389*J389,2)))</f>
        <v/>
      </c>
      <c r="L389" s="15">
        <f>IF(K389="","",ROUND(K389*Настройки!$B$5,2))</f>
        <v/>
      </c>
      <c r="M389" s="15">
        <f>IF(A389="","",SUMIFS(Начисления!$M$2:$M$1000,Начисления!$F$2:$F$1000,A389))</f>
        <v/>
      </c>
      <c r="N389" s="15">
        <f>IF(A389="","",SUM(K389:M389))</f>
        <v/>
      </c>
      <c r="O389" s="14" t="n"/>
      <c r="P389" s="15">
        <f>IF(A389="","",N389-O389)</f>
        <v/>
      </c>
      <c r="Q389" s="10" t="n"/>
      <c r="R389" s="10" t="n"/>
      <c r="S389" s="16">
        <f>IF(ISNUMBER(D389),D389+TIME(3,0,0),"")</f>
        <v/>
      </c>
      <c r="T389" s="10" t="n"/>
      <c r="U389" s="17">
        <f>IF(OR(B389="",COUNT(D389:E389)&lt;2,E389&lt;D389,F389="Отменена"),0,MAX(0,MIN(E389,Сводка!$B$4)-MAX(D389,Сводка!$B$2)))</f>
        <v/>
      </c>
    </row>
    <row r="390">
      <c r="A390" s="9" t="n"/>
      <c r="B390" s="10" t="n"/>
      <c r="C390" s="10" t="n"/>
      <c r="D390" s="11" t="n"/>
      <c r="E390" s="11" t="n"/>
      <c r="F390" s="10" t="n"/>
      <c r="G390" s="12">
        <f>IF(B390="","",IF(OR(COUNT(D390:E390)&lt;2,E390&lt;D390),"Проверьте даты",IF(OR(F390="Отменена",F390="Возвращена"),"",IF(SUMPRODUCT(($B$2:$B$500=B390)*($D$2:$D$500&lt;=E390)*($E$2:$E$500&gt;=D390)*($F$2:$F$500&lt;&gt;"Отменена")*($F$2:$F$500&lt;&gt;"Возвращена"))&gt;1,"Пересечение","ОК"))))</f>
        <v/>
      </c>
      <c r="H390" s="12">
        <f>IF(OR(B390="",D390=""),"",IF(AND(OR(F390="Выдана",F390="Возвращена"),SUMPRODUCT(($B$2:$B$500=B390)*($D$2:$D$500=D390)*(($F$2:$F$500="Выдана")+($F$2:$F$500="Возвращена")))&gt;1),"Дубль",""))</f>
        <v/>
      </c>
      <c r="I390" s="13">
        <f>IF(OR(B390="",COUNT(D390:E390)&lt;2,E390&lt;D390),"",IF(Настройки!$B$6=Настройки!$M$3,INT(E390)-INT(D390)+1,ROUNDUP(ROUND((E390-D390)*24,2)/24,0)))</f>
        <v/>
      </c>
      <c r="J390" s="14" t="n"/>
      <c r="K390" s="15">
        <f>IF(OR(I390="",J390=""),"",IF(F390="Отменена",0,ROUND(I390*J390,2)))</f>
        <v/>
      </c>
      <c r="L390" s="15">
        <f>IF(K390="","",ROUND(K390*Настройки!$B$5,2))</f>
        <v/>
      </c>
      <c r="M390" s="15">
        <f>IF(A390="","",SUMIFS(Начисления!$M$2:$M$1000,Начисления!$F$2:$F$1000,A390))</f>
        <v/>
      </c>
      <c r="N390" s="15">
        <f>IF(A390="","",SUM(K390:M390))</f>
        <v/>
      </c>
      <c r="O390" s="14" t="n"/>
      <c r="P390" s="15">
        <f>IF(A390="","",N390-O390)</f>
        <v/>
      </c>
      <c r="Q390" s="10" t="n"/>
      <c r="R390" s="10" t="n"/>
      <c r="S390" s="16">
        <f>IF(ISNUMBER(D390),D390+TIME(3,0,0),"")</f>
        <v/>
      </c>
      <c r="T390" s="10" t="n"/>
      <c r="U390" s="17">
        <f>IF(OR(B390="",COUNT(D390:E390)&lt;2,E390&lt;D390,F390="Отменена"),0,MAX(0,MIN(E390,Сводка!$B$4)-MAX(D390,Сводка!$B$2)))</f>
        <v/>
      </c>
    </row>
    <row r="391">
      <c r="A391" s="9" t="n"/>
      <c r="B391" s="10" t="n"/>
      <c r="C391" s="10" t="n"/>
      <c r="D391" s="11" t="n"/>
      <c r="E391" s="11" t="n"/>
      <c r="F391" s="10" t="n"/>
      <c r="G391" s="12">
        <f>IF(B391="","",IF(OR(COUNT(D391:E391)&lt;2,E391&lt;D391),"Проверьте даты",IF(OR(F391="Отменена",F391="Возвращена"),"",IF(SUMPRODUCT(($B$2:$B$500=B391)*($D$2:$D$500&lt;=E391)*($E$2:$E$500&gt;=D391)*($F$2:$F$500&lt;&gt;"Отменена")*($F$2:$F$500&lt;&gt;"Возвращена"))&gt;1,"Пересечение","ОК"))))</f>
        <v/>
      </c>
      <c r="H391" s="12">
        <f>IF(OR(B391="",D391=""),"",IF(AND(OR(F391="Выдана",F391="Возвращена"),SUMPRODUCT(($B$2:$B$500=B391)*($D$2:$D$500=D391)*(($F$2:$F$500="Выдана")+($F$2:$F$500="Возвращена")))&gt;1),"Дубль",""))</f>
        <v/>
      </c>
      <c r="I391" s="13">
        <f>IF(OR(B391="",COUNT(D391:E391)&lt;2,E391&lt;D391),"",IF(Настройки!$B$6=Настройки!$M$3,INT(E391)-INT(D391)+1,ROUNDUP(ROUND((E391-D391)*24,2)/24,0)))</f>
        <v/>
      </c>
      <c r="J391" s="14" t="n"/>
      <c r="K391" s="15">
        <f>IF(OR(I391="",J391=""),"",IF(F391="Отменена",0,ROUND(I391*J391,2)))</f>
        <v/>
      </c>
      <c r="L391" s="15">
        <f>IF(K391="","",ROUND(K391*Настройки!$B$5,2))</f>
        <v/>
      </c>
      <c r="M391" s="15">
        <f>IF(A391="","",SUMIFS(Начисления!$M$2:$M$1000,Начисления!$F$2:$F$1000,A391))</f>
        <v/>
      </c>
      <c r="N391" s="15">
        <f>IF(A391="","",SUM(K391:M391))</f>
        <v/>
      </c>
      <c r="O391" s="14" t="n"/>
      <c r="P391" s="15">
        <f>IF(A391="","",N391-O391)</f>
        <v/>
      </c>
      <c r="Q391" s="10" t="n"/>
      <c r="R391" s="10" t="n"/>
      <c r="S391" s="16">
        <f>IF(ISNUMBER(D391),D391+TIME(3,0,0),"")</f>
        <v/>
      </c>
      <c r="T391" s="10" t="n"/>
      <c r="U391" s="17">
        <f>IF(OR(B391="",COUNT(D391:E391)&lt;2,E391&lt;D391,F391="Отменена"),0,MAX(0,MIN(E391,Сводка!$B$4)-MAX(D391,Сводка!$B$2)))</f>
        <v/>
      </c>
    </row>
    <row r="392">
      <c r="A392" s="9" t="n"/>
      <c r="B392" s="10" t="n"/>
      <c r="C392" s="10" t="n"/>
      <c r="D392" s="11" t="n"/>
      <c r="E392" s="11" t="n"/>
      <c r="F392" s="10" t="n"/>
      <c r="G392" s="12">
        <f>IF(B392="","",IF(OR(COUNT(D392:E392)&lt;2,E392&lt;D392),"Проверьте даты",IF(OR(F392="Отменена",F392="Возвращена"),"",IF(SUMPRODUCT(($B$2:$B$500=B392)*($D$2:$D$500&lt;=E392)*($E$2:$E$500&gt;=D392)*($F$2:$F$500&lt;&gt;"Отменена")*($F$2:$F$500&lt;&gt;"Возвращена"))&gt;1,"Пересечение","ОК"))))</f>
        <v/>
      </c>
      <c r="H392" s="12">
        <f>IF(OR(B392="",D392=""),"",IF(AND(OR(F392="Выдана",F392="Возвращена"),SUMPRODUCT(($B$2:$B$500=B392)*($D$2:$D$500=D392)*(($F$2:$F$500="Выдана")+($F$2:$F$500="Возвращена")))&gt;1),"Дубль",""))</f>
        <v/>
      </c>
      <c r="I392" s="13">
        <f>IF(OR(B392="",COUNT(D392:E392)&lt;2,E392&lt;D392),"",IF(Настройки!$B$6=Настройки!$M$3,INT(E392)-INT(D392)+1,ROUNDUP(ROUND((E392-D392)*24,2)/24,0)))</f>
        <v/>
      </c>
      <c r="J392" s="14" t="n"/>
      <c r="K392" s="15">
        <f>IF(OR(I392="",J392=""),"",IF(F392="Отменена",0,ROUND(I392*J392,2)))</f>
        <v/>
      </c>
      <c r="L392" s="15">
        <f>IF(K392="","",ROUND(K392*Настройки!$B$5,2))</f>
        <v/>
      </c>
      <c r="M392" s="15">
        <f>IF(A392="","",SUMIFS(Начисления!$M$2:$M$1000,Начисления!$F$2:$F$1000,A392))</f>
        <v/>
      </c>
      <c r="N392" s="15">
        <f>IF(A392="","",SUM(K392:M392))</f>
        <v/>
      </c>
      <c r="O392" s="14" t="n"/>
      <c r="P392" s="15">
        <f>IF(A392="","",N392-O392)</f>
        <v/>
      </c>
      <c r="Q392" s="10" t="n"/>
      <c r="R392" s="10" t="n"/>
      <c r="S392" s="16">
        <f>IF(ISNUMBER(D392),D392+TIME(3,0,0),"")</f>
        <v/>
      </c>
      <c r="T392" s="10" t="n"/>
      <c r="U392" s="17">
        <f>IF(OR(B392="",COUNT(D392:E392)&lt;2,E392&lt;D392,F392="Отменена"),0,MAX(0,MIN(E392,Сводка!$B$4)-MAX(D392,Сводка!$B$2)))</f>
        <v/>
      </c>
    </row>
    <row r="393">
      <c r="A393" s="9" t="n"/>
      <c r="B393" s="10" t="n"/>
      <c r="C393" s="10" t="n"/>
      <c r="D393" s="11" t="n"/>
      <c r="E393" s="11" t="n"/>
      <c r="F393" s="10" t="n"/>
      <c r="G393" s="12">
        <f>IF(B393="","",IF(OR(COUNT(D393:E393)&lt;2,E393&lt;D393),"Проверьте даты",IF(OR(F393="Отменена",F393="Возвращена"),"",IF(SUMPRODUCT(($B$2:$B$500=B393)*($D$2:$D$500&lt;=E393)*($E$2:$E$500&gt;=D393)*($F$2:$F$500&lt;&gt;"Отменена")*($F$2:$F$500&lt;&gt;"Возвращена"))&gt;1,"Пересечение","ОК"))))</f>
        <v/>
      </c>
      <c r="H393" s="12">
        <f>IF(OR(B393="",D393=""),"",IF(AND(OR(F393="Выдана",F393="Возвращена"),SUMPRODUCT(($B$2:$B$500=B393)*($D$2:$D$500=D393)*(($F$2:$F$500="Выдана")+($F$2:$F$500="Возвращена")))&gt;1),"Дубль",""))</f>
        <v/>
      </c>
      <c r="I393" s="13">
        <f>IF(OR(B393="",COUNT(D393:E393)&lt;2,E393&lt;D393),"",IF(Настройки!$B$6=Настройки!$M$3,INT(E393)-INT(D393)+1,ROUNDUP(ROUND((E393-D393)*24,2)/24,0)))</f>
        <v/>
      </c>
      <c r="J393" s="14" t="n"/>
      <c r="K393" s="15">
        <f>IF(OR(I393="",J393=""),"",IF(F393="Отменена",0,ROUND(I393*J393,2)))</f>
        <v/>
      </c>
      <c r="L393" s="15">
        <f>IF(K393="","",ROUND(K393*Настройки!$B$5,2))</f>
        <v/>
      </c>
      <c r="M393" s="15">
        <f>IF(A393="","",SUMIFS(Начисления!$M$2:$M$1000,Начисления!$F$2:$F$1000,A393))</f>
        <v/>
      </c>
      <c r="N393" s="15">
        <f>IF(A393="","",SUM(K393:M393))</f>
        <v/>
      </c>
      <c r="O393" s="14" t="n"/>
      <c r="P393" s="15">
        <f>IF(A393="","",N393-O393)</f>
        <v/>
      </c>
      <c r="Q393" s="10" t="n"/>
      <c r="R393" s="10" t="n"/>
      <c r="S393" s="16">
        <f>IF(ISNUMBER(D393),D393+TIME(3,0,0),"")</f>
        <v/>
      </c>
      <c r="T393" s="10" t="n"/>
      <c r="U393" s="17">
        <f>IF(OR(B393="",COUNT(D393:E393)&lt;2,E393&lt;D393,F393="Отменена"),0,MAX(0,MIN(E393,Сводка!$B$4)-MAX(D393,Сводка!$B$2)))</f>
        <v/>
      </c>
    </row>
    <row r="394">
      <c r="A394" s="9" t="n"/>
      <c r="B394" s="10" t="n"/>
      <c r="C394" s="10" t="n"/>
      <c r="D394" s="11" t="n"/>
      <c r="E394" s="11" t="n"/>
      <c r="F394" s="10" t="n"/>
      <c r="G394" s="12">
        <f>IF(B394="","",IF(OR(COUNT(D394:E394)&lt;2,E394&lt;D394),"Проверьте даты",IF(OR(F394="Отменена",F394="Возвращена"),"",IF(SUMPRODUCT(($B$2:$B$500=B394)*($D$2:$D$500&lt;=E394)*($E$2:$E$500&gt;=D394)*($F$2:$F$500&lt;&gt;"Отменена")*($F$2:$F$500&lt;&gt;"Возвращена"))&gt;1,"Пересечение","ОК"))))</f>
        <v/>
      </c>
      <c r="H394" s="12">
        <f>IF(OR(B394="",D394=""),"",IF(AND(OR(F394="Выдана",F394="Возвращена"),SUMPRODUCT(($B$2:$B$500=B394)*($D$2:$D$500=D394)*(($F$2:$F$500="Выдана")+($F$2:$F$500="Возвращена")))&gt;1),"Дубль",""))</f>
        <v/>
      </c>
      <c r="I394" s="13">
        <f>IF(OR(B394="",COUNT(D394:E394)&lt;2,E394&lt;D394),"",IF(Настройки!$B$6=Настройки!$M$3,INT(E394)-INT(D394)+1,ROUNDUP(ROUND((E394-D394)*24,2)/24,0)))</f>
        <v/>
      </c>
      <c r="J394" s="14" t="n"/>
      <c r="K394" s="15">
        <f>IF(OR(I394="",J394=""),"",IF(F394="Отменена",0,ROUND(I394*J394,2)))</f>
        <v/>
      </c>
      <c r="L394" s="15">
        <f>IF(K394="","",ROUND(K394*Настройки!$B$5,2))</f>
        <v/>
      </c>
      <c r="M394" s="15">
        <f>IF(A394="","",SUMIFS(Начисления!$M$2:$M$1000,Начисления!$F$2:$F$1000,A394))</f>
        <v/>
      </c>
      <c r="N394" s="15">
        <f>IF(A394="","",SUM(K394:M394))</f>
        <v/>
      </c>
      <c r="O394" s="14" t="n"/>
      <c r="P394" s="15">
        <f>IF(A394="","",N394-O394)</f>
        <v/>
      </c>
      <c r="Q394" s="10" t="n"/>
      <c r="R394" s="10" t="n"/>
      <c r="S394" s="16">
        <f>IF(ISNUMBER(D394),D394+TIME(3,0,0),"")</f>
        <v/>
      </c>
      <c r="T394" s="10" t="n"/>
      <c r="U394" s="17">
        <f>IF(OR(B394="",COUNT(D394:E394)&lt;2,E394&lt;D394,F394="Отменена"),0,MAX(0,MIN(E394,Сводка!$B$4)-MAX(D394,Сводка!$B$2)))</f>
        <v/>
      </c>
    </row>
    <row r="395">
      <c r="A395" s="9" t="n"/>
      <c r="B395" s="10" t="n"/>
      <c r="C395" s="10" t="n"/>
      <c r="D395" s="11" t="n"/>
      <c r="E395" s="11" t="n"/>
      <c r="F395" s="10" t="n"/>
      <c r="G395" s="12">
        <f>IF(B395="","",IF(OR(COUNT(D395:E395)&lt;2,E395&lt;D395),"Проверьте даты",IF(OR(F395="Отменена",F395="Возвращена"),"",IF(SUMPRODUCT(($B$2:$B$500=B395)*($D$2:$D$500&lt;=E395)*($E$2:$E$500&gt;=D395)*($F$2:$F$500&lt;&gt;"Отменена")*($F$2:$F$500&lt;&gt;"Возвращена"))&gt;1,"Пересечение","ОК"))))</f>
        <v/>
      </c>
      <c r="H395" s="12">
        <f>IF(OR(B395="",D395=""),"",IF(AND(OR(F395="Выдана",F395="Возвращена"),SUMPRODUCT(($B$2:$B$500=B395)*($D$2:$D$500=D395)*(($F$2:$F$500="Выдана")+($F$2:$F$500="Возвращена")))&gt;1),"Дубль",""))</f>
        <v/>
      </c>
      <c r="I395" s="13">
        <f>IF(OR(B395="",COUNT(D395:E395)&lt;2,E395&lt;D395),"",IF(Настройки!$B$6=Настройки!$M$3,INT(E395)-INT(D395)+1,ROUNDUP(ROUND((E395-D395)*24,2)/24,0)))</f>
        <v/>
      </c>
      <c r="J395" s="14" t="n"/>
      <c r="K395" s="15">
        <f>IF(OR(I395="",J395=""),"",IF(F395="Отменена",0,ROUND(I395*J395,2)))</f>
        <v/>
      </c>
      <c r="L395" s="15">
        <f>IF(K395="","",ROUND(K395*Настройки!$B$5,2))</f>
        <v/>
      </c>
      <c r="M395" s="15">
        <f>IF(A395="","",SUMIFS(Начисления!$M$2:$M$1000,Начисления!$F$2:$F$1000,A395))</f>
        <v/>
      </c>
      <c r="N395" s="15">
        <f>IF(A395="","",SUM(K395:M395))</f>
        <v/>
      </c>
      <c r="O395" s="14" t="n"/>
      <c r="P395" s="15">
        <f>IF(A395="","",N395-O395)</f>
        <v/>
      </c>
      <c r="Q395" s="10" t="n"/>
      <c r="R395" s="10" t="n"/>
      <c r="S395" s="16">
        <f>IF(ISNUMBER(D395),D395+TIME(3,0,0),"")</f>
        <v/>
      </c>
      <c r="T395" s="10" t="n"/>
      <c r="U395" s="17">
        <f>IF(OR(B395="",COUNT(D395:E395)&lt;2,E395&lt;D395,F395="Отменена"),0,MAX(0,MIN(E395,Сводка!$B$4)-MAX(D395,Сводка!$B$2)))</f>
        <v/>
      </c>
    </row>
    <row r="396">
      <c r="A396" s="9" t="n"/>
      <c r="B396" s="10" t="n"/>
      <c r="C396" s="10" t="n"/>
      <c r="D396" s="11" t="n"/>
      <c r="E396" s="11" t="n"/>
      <c r="F396" s="10" t="n"/>
      <c r="G396" s="12">
        <f>IF(B396="","",IF(OR(COUNT(D396:E396)&lt;2,E396&lt;D396),"Проверьте даты",IF(OR(F396="Отменена",F396="Возвращена"),"",IF(SUMPRODUCT(($B$2:$B$500=B396)*($D$2:$D$500&lt;=E396)*($E$2:$E$500&gt;=D396)*($F$2:$F$500&lt;&gt;"Отменена")*($F$2:$F$500&lt;&gt;"Возвращена"))&gt;1,"Пересечение","ОК"))))</f>
        <v/>
      </c>
      <c r="H396" s="12">
        <f>IF(OR(B396="",D396=""),"",IF(AND(OR(F396="Выдана",F396="Возвращена"),SUMPRODUCT(($B$2:$B$500=B396)*($D$2:$D$500=D396)*(($F$2:$F$500="Выдана")+($F$2:$F$500="Возвращена")))&gt;1),"Дубль",""))</f>
        <v/>
      </c>
      <c r="I396" s="13">
        <f>IF(OR(B396="",COUNT(D396:E396)&lt;2,E396&lt;D396),"",IF(Настройки!$B$6=Настройки!$M$3,INT(E396)-INT(D396)+1,ROUNDUP(ROUND((E396-D396)*24,2)/24,0)))</f>
        <v/>
      </c>
      <c r="J396" s="14" t="n"/>
      <c r="K396" s="15">
        <f>IF(OR(I396="",J396=""),"",IF(F396="Отменена",0,ROUND(I396*J396,2)))</f>
        <v/>
      </c>
      <c r="L396" s="15">
        <f>IF(K396="","",ROUND(K396*Настройки!$B$5,2))</f>
        <v/>
      </c>
      <c r="M396" s="15">
        <f>IF(A396="","",SUMIFS(Начисления!$M$2:$M$1000,Начисления!$F$2:$F$1000,A396))</f>
        <v/>
      </c>
      <c r="N396" s="15">
        <f>IF(A396="","",SUM(K396:M396))</f>
        <v/>
      </c>
      <c r="O396" s="14" t="n"/>
      <c r="P396" s="15">
        <f>IF(A396="","",N396-O396)</f>
        <v/>
      </c>
      <c r="Q396" s="10" t="n"/>
      <c r="R396" s="10" t="n"/>
      <c r="S396" s="16">
        <f>IF(ISNUMBER(D396),D396+TIME(3,0,0),"")</f>
        <v/>
      </c>
      <c r="T396" s="10" t="n"/>
      <c r="U396" s="17">
        <f>IF(OR(B396="",COUNT(D396:E396)&lt;2,E396&lt;D396,F396="Отменена"),0,MAX(0,MIN(E396,Сводка!$B$4)-MAX(D396,Сводка!$B$2)))</f>
        <v/>
      </c>
    </row>
    <row r="397">
      <c r="A397" s="9" t="n"/>
      <c r="B397" s="10" t="n"/>
      <c r="C397" s="10" t="n"/>
      <c r="D397" s="11" t="n"/>
      <c r="E397" s="11" t="n"/>
      <c r="F397" s="10" t="n"/>
      <c r="G397" s="12">
        <f>IF(B397="","",IF(OR(COUNT(D397:E397)&lt;2,E397&lt;D397),"Проверьте даты",IF(OR(F397="Отменена",F397="Возвращена"),"",IF(SUMPRODUCT(($B$2:$B$500=B397)*($D$2:$D$500&lt;=E397)*($E$2:$E$500&gt;=D397)*($F$2:$F$500&lt;&gt;"Отменена")*($F$2:$F$500&lt;&gt;"Возвращена"))&gt;1,"Пересечение","ОК"))))</f>
        <v/>
      </c>
      <c r="H397" s="12">
        <f>IF(OR(B397="",D397=""),"",IF(AND(OR(F397="Выдана",F397="Возвращена"),SUMPRODUCT(($B$2:$B$500=B397)*($D$2:$D$500=D397)*(($F$2:$F$500="Выдана")+($F$2:$F$500="Возвращена")))&gt;1),"Дубль",""))</f>
        <v/>
      </c>
      <c r="I397" s="13">
        <f>IF(OR(B397="",COUNT(D397:E397)&lt;2,E397&lt;D397),"",IF(Настройки!$B$6=Настройки!$M$3,INT(E397)-INT(D397)+1,ROUNDUP(ROUND((E397-D397)*24,2)/24,0)))</f>
        <v/>
      </c>
      <c r="J397" s="14" t="n"/>
      <c r="K397" s="15">
        <f>IF(OR(I397="",J397=""),"",IF(F397="Отменена",0,ROUND(I397*J397,2)))</f>
        <v/>
      </c>
      <c r="L397" s="15">
        <f>IF(K397="","",ROUND(K397*Настройки!$B$5,2))</f>
        <v/>
      </c>
      <c r="M397" s="15">
        <f>IF(A397="","",SUMIFS(Начисления!$M$2:$M$1000,Начисления!$F$2:$F$1000,A397))</f>
        <v/>
      </c>
      <c r="N397" s="15">
        <f>IF(A397="","",SUM(K397:M397))</f>
        <v/>
      </c>
      <c r="O397" s="14" t="n"/>
      <c r="P397" s="15">
        <f>IF(A397="","",N397-O397)</f>
        <v/>
      </c>
      <c r="Q397" s="10" t="n"/>
      <c r="R397" s="10" t="n"/>
      <c r="S397" s="16">
        <f>IF(ISNUMBER(D397),D397+TIME(3,0,0),"")</f>
        <v/>
      </c>
      <c r="T397" s="10" t="n"/>
      <c r="U397" s="17">
        <f>IF(OR(B397="",COUNT(D397:E397)&lt;2,E397&lt;D397,F397="Отменена"),0,MAX(0,MIN(E397,Сводка!$B$4)-MAX(D397,Сводка!$B$2)))</f>
        <v/>
      </c>
    </row>
    <row r="398">
      <c r="A398" s="9" t="n"/>
      <c r="B398" s="10" t="n"/>
      <c r="C398" s="10" t="n"/>
      <c r="D398" s="11" t="n"/>
      <c r="E398" s="11" t="n"/>
      <c r="F398" s="10" t="n"/>
      <c r="G398" s="12">
        <f>IF(B398="","",IF(OR(COUNT(D398:E398)&lt;2,E398&lt;D398),"Проверьте даты",IF(OR(F398="Отменена",F398="Возвращена"),"",IF(SUMPRODUCT(($B$2:$B$500=B398)*($D$2:$D$500&lt;=E398)*($E$2:$E$500&gt;=D398)*($F$2:$F$500&lt;&gt;"Отменена")*($F$2:$F$500&lt;&gt;"Возвращена"))&gt;1,"Пересечение","ОК"))))</f>
        <v/>
      </c>
      <c r="H398" s="12">
        <f>IF(OR(B398="",D398=""),"",IF(AND(OR(F398="Выдана",F398="Возвращена"),SUMPRODUCT(($B$2:$B$500=B398)*($D$2:$D$500=D398)*(($F$2:$F$500="Выдана")+($F$2:$F$500="Возвращена")))&gt;1),"Дубль",""))</f>
        <v/>
      </c>
      <c r="I398" s="13">
        <f>IF(OR(B398="",COUNT(D398:E398)&lt;2,E398&lt;D398),"",IF(Настройки!$B$6=Настройки!$M$3,INT(E398)-INT(D398)+1,ROUNDUP(ROUND((E398-D398)*24,2)/24,0)))</f>
        <v/>
      </c>
      <c r="J398" s="14" t="n"/>
      <c r="K398" s="15">
        <f>IF(OR(I398="",J398=""),"",IF(F398="Отменена",0,ROUND(I398*J398,2)))</f>
        <v/>
      </c>
      <c r="L398" s="15">
        <f>IF(K398="","",ROUND(K398*Настройки!$B$5,2))</f>
        <v/>
      </c>
      <c r="M398" s="15">
        <f>IF(A398="","",SUMIFS(Начисления!$M$2:$M$1000,Начисления!$F$2:$F$1000,A398))</f>
        <v/>
      </c>
      <c r="N398" s="15">
        <f>IF(A398="","",SUM(K398:M398))</f>
        <v/>
      </c>
      <c r="O398" s="14" t="n"/>
      <c r="P398" s="15">
        <f>IF(A398="","",N398-O398)</f>
        <v/>
      </c>
      <c r="Q398" s="10" t="n"/>
      <c r="R398" s="10" t="n"/>
      <c r="S398" s="16">
        <f>IF(ISNUMBER(D398),D398+TIME(3,0,0),"")</f>
        <v/>
      </c>
      <c r="T398" s="10" t="n"/>
      <c r="U398" s="17">
        <f>IF(OR(B398="",COUNT(D398:E398)&lt;2,E398&lt;D398,F398="Отменена"),0,MAX(0,MIN(E398,Сводка!$B$4)-MAX(D398,Сводка!$B$2)))</f>
        <v/>
      </c>
    </row>
    <row r="399">
      <c r="A399" s="9" t="n"/>
      <c r="B399" s="10" t="n"/>
      <c r="C399" s="10" t="n"/>
      <c r="D399" s="11" t="n"/>
      <c r="E399" s="11" t="n"/>
      <c r="F399" s="10" t="n"/>
      <c r="G399" s="12">
        <f>IF(B399="","",IF(OR(COUNT(D399:E399)&lt;2,E399&lt;D399),"Проверьте даты",IF(OR(F399="Отменена",F399="Возвращена"),"",IF(SUMPRODUCT(($B$2:$B$500=B399)*($D$2:$D$500&lt;=E399)*($E$2:$E$500&gt;=D399)*($F$2:$F$500&lt;&gt;"Отменена")*($F$2:$F$500&lt;&gt;"Возвращена"))&gt;1,"Пересечение","ОК"))))</f>
        <v/>
      </c>
      <c r="H399" s="12">
        <f>IF(OR(B399="",D399=""),"",IF(AND(OR(F399="Выдана",F399="Возвращена"),SUMPRODUCT(($B$2:$B$500=B399)*($D$2:$D$500=D399)*(($F$2:$F$500="Выдана")+($F$2:$F$500="Возвращена")))&gt;1),"Дубль",""))</f>
        <v/>
      </c>
      <c r="I399" s="13">
        <f>IF(OR(B399="",COUNT(D399:E399)&lt;2,E399&lt;D399),"",IF(Настройки!$B$6=Настройки!$M$3,INT(E399)-INT(D399)+1,ROUNDUP(ROUND((E399-D399)*24,2)/24,0)))</f>
        <v/>
      </c>
      <c r="J399" s="14" t="n"/>
      <c r="K399" s="15">
        <f>IF(OR(I399="",J399=""),"",IF(F399="Отменена",0,ROUND(I399*J399,2)))</f>
        <v/>
      </c>
      <c r="L399" s="15">
        <f>IF(K399="","",ROUND(K399*Настройки!$B$5,2))</f>
        <v/>
      </c>
      <c r="M399" s="15">
        <f>IF(A399="","",SUMIFS(Начисления!$M$2:$M$1000,Начисления!$F$2:$F$1000,A399))</f>
        <v/>
      </c>
      <c r="N399" s="15">
        <f>IF(A399="","",SUM(K399:M399))</f>
        <v/>
      </c>
      <c r="O399" s="14" t="n"/>
      <c r="P399" s="15">
        <f>IF(A399="","",N399-O399)</f>
        <v/>
      </c>
      <c r="Q399" s="10" t="n"/>
      <c r="R399" s="10" t="n"/>
      <c r="S399" s="16">
        <f>IF(ISNUMBER(D399),D399+TIME(3,0,0),"")</f>
        <v/>
      </c>
      <c r="T399" s="10" t="n"/>
      <c r="U399" s="17">
        <f>IF(OR(B399="",COUNT(D399:E399)&lt;2,E399&lt;D399,F399="Отменена"),0,MAX(0,MIN(E399,Сводка!$B$4)-MAX(D399,Сводка!$B$2)))</f>
        <v/>
      </c>
    </row>
    <row r="400">
      <c r="A400" s="9" t="n"/>
      <c r="B400" s="10" t="n"/>
      <c r="C400" s="10" t="n"/>
      <c r="D400" s="11" t="n"/>
      <c r="E400" s="11" t="n"/>
      <c r="F400" s="10" t="n"/>
      <c r="G400" s="12">
        <f>IF(B400="","",IF(OR(COUNT(D400:E400)&lt;2,E400&lt;D400),"Проверьте даты",IF(OR(F400="Отменена",F400="Возвращена"),"",IF(SUMPRODUCT(($B$2:$B$500=B400)*($D$2:$D$500&lt;=E400)*($E$2:$E$500&gt;=D400)*($F$2:$F$500&lt;&gt;"Отменена")*($F$2:$F$500&lt;&gt;"Возвращена"))&gt;1,"Пересечение","ОК"))))</f>
        <v/>
      </c>
      <c r="H400" s="12">
        <f>IF(OR(B400="",D400=""),"",IF(AND(OR(F400="Выдана",F400="Возвращена"),SUMPRODUCT(($B$2:$B$500=B400)*($D$2:$D$500=D400)*(($F$2:$F$500="Выдана")+($F$2:$F$500="Возвращена")))&gt;1),"Дубль",""))</f>
        <v/>
      </c>
      <c r="I400" s="13">
        <f>IF(OR(B400="",COUNT(D400:E400)&lt;2,E400&lt;D400),"",IF(Настройки!$B$6=Настройки!$M$3,INT(E400)-INT(D400)+1,ROUNDUP(ROUND((E400-D400)*24,2)/24,0)))</f>
        <v/>
      </c>
      <c r="J400" s="14" t="n"/>
      <c r="K400" s="15">
        <f>IF(OR(I400="",J400=""),"",IF(F400="Отменена",0,ROUND(I400*J400,2)))</f>
        <v/>
      </c>
      <c r="L400" s="15">
        <f>IF(K400="","",ROUND(K400*Настройки!$B$5,2))</f>
        <v/>
      </c>
      <c r="M400" s="15">
        <f>IF(A400="","",SUMIFS(Начисления!$M$2:$M$1000,Начисления!$F$2:$F$1000,A400))</f>
        <v/>
      </c>
      <c r="N400" s="15">
        <f>IF(A400="","",SUM(K400:M400))</f>
        <v/>
      </c>
      <c r="O400" s="14" t="n"/>
      <c r="P400" s="15">
        <f>IF(A400="","",N400-O400)</f>
        <v/>
      </c>
      <c r="Q400" s="10" t="n"/>
      <c r="R400" s="10" t="n"/>
      <c r="S400" s="16">
        <f>IF(ISNUMBER(D400),D400+TIME(3,0,0),"")</f>
        <v/>
      </c>
      <c r="T400" s="10" t="n"/>
      <c r="U400" s="17">
        <f>IF(OR(B400="",COUNT(D400:E400)&lt;2,E400&lt;D400,F400="Отменена"),0,MAX(0,MIN(E400,Сводка!$B$4)-MAX(D400,Сводка!$B$2)))</f>
        <v/>
      </c>
    </row>
    <row r="401">
      <c r="A401" s="9" t="n"/>
      <c r="B401" s="10" t="n"/>
      <c r="C401" s="10" t="n"/>
      <c r="D401" s="11" t="n"/>
      <c r="E401" s="11" t="n"/>
      <c r="F401" s="10" t="n"/>
      <c r="G401" s="12">
        <f>IF(B401="","",IF(OR(COUNT(D401:E401)&lt;2,E401&lt;D401),"Проверьте даты",IF(OR(F401="Отменена",F401="Возвращена"),"",IF(SUMPRODUCT(($B$2:$B$500=B401)*($D$2:$D$500&lt;=E401)*($E$2:$E$500&gt;=D401)*($F$2:$F$500&lt;&gt;"Отменена")*($F$2:$F$500&lt;&gt;"Возвращена"))&gt;1,"Пересечение","ОК"))))</f>
        <v/>
      </c>
      <c r="H401" s="12">
        <f>IF(OR(B401="",D401=""),"",IF(AND(OR(F401="Выдана",F401="Возвращена"),SUMPRODUCT(($B$2:$B$500=B401)*($D$2:$D$500=D401)*(($F$2:$F$500="Выдана")+($F$2:$F$500="Возвращена")))&gt;1),"Дубль",""))</f>
        <v/>
      </c>
      <c r="I401" s="13">
        <f>IF(OR(B401="",COUNT(D401:E401)&lt;2,E401&lt;D401),"",IF(Настройки!$B$6=Настройки!$M$3,INT(E401)-INT(D401)+1,ROUNDUP(ROUND((E401-D401)*24,2)/24,0)))</f>
        <v/>
      </c>
      <c r="J401" s="14" t="n"/>
      <c r="K401" s="15">
        <f>IF(OR(I401="",J401=""),"",IF(F401="Отменена",0,ROUND(I401*J401,2)))</f>
        <v/>
      </c>
      <c r="L401" s="15">
        <f>IF(K401="","",ROUND(K401*Настройки!$B$5,2))</f>
        <v/>
      </c>
      <c r="M401" s="15">
        <f>IF(A401="","",SUMIFS(Начисления!$M$2:$M$1000,Начисления!$F$2:$F$1000,A401))</f>
        <v/>
      </c>
      <c r="N401" s="15">
        <f>IF(A401="","",SUM(K401:M401))</f>
        <v/>
      </c>
      <c r="O401" s="14" t="n"/>
      <c r="P401" s="15">
        <f>IF(A401="","",N401-O401)</f>
        <v/>
      </c>
      <c r="Q401" s="10" t="n"/>
      <c r="R401" s="10" t="n"/>
      <c r="S401" s="16">
        <f>IF(ISNUMBER(D401),D401+TIME(3,0,0),"")</f>
        <v/>
      </c>
      <c r="T401" s="10" t="n"/>
      <c r="U401" s="17">
        <f>IF(OR(B401="",COUNT(D401:E401)&lt;2,E401&lt;D401,F401="Отменена"),0,MAX(0,MIN(E401,Сводка!$B$4)-MAX(D401,Сводка!$B$2)))</f>
        <v/>
      </c>
    </row>
    <row r="402">
      <c r="A402" s="9" t="n"/>
      <c r="B402" s="10" t="n"/>
      <c r="C402" s="10" t="n"/>
      <c r="D402" s="11" t="n"/>
      <c r="E402" s="11" t="n"/>
      <c r="F402" s="10" t="n"/>
      <c r="G402" s="12">
        <f>IF(B402="","",IF(OR(COUNT(D402:E402)&lt;2,E402&lt;D402),"Проверьте даты",IF(OR(F402="Отменена",F402="Возвращена"),"",IF(SUMPRODUCT(($B$2:$B$500=B402)*($D$2:$D$500&lt;=E402)*($E$2:$E$500&gt;=D402)*($F$2:$F$500&lt;&gt;"Отменена")*($F$2:$F$500&lt;&gt;"Возвращена"))&gt;1,"Пересечение","ОК"))))</f>
        <v/>
      </c>
      <c r="H402" s="12">
        <f>IF(OR(B402="",D402=""),"",IF(AND(OR(F402="Выдана",F402="Возвращена"),SUMPRODUCT(($B$2:$B$500=B402)*($D$2:$D$500=D402)*(($F$2:$F$500="Выдана")+($F$2:$F$500="Возвращена")))&gt;1),"Дубль",""))</f>
        <v/>
      </c>
      <c r="I402" s="13">
        <f>IF(OR(B402="",COUNT(D402:E402)&lt;2,E402&lt;D402),"",IF(Настройки!$B$6=Настройки!$M$3,INT(E402)-INT(D402)+1,ROUNDUP(ROUND((E402-D402)*24,2)/24,0)))</f>
        <v/>
      </c>
      <c r="J402" s="14" t="n"/>
      <c r="K402" s="15">
        <f>IF(OR(I402="",J402=""),"",IF(F402="Отменена",0,ROUND(I402*J402,2)))</f>
        <v/>
      </c>
      <c r="L402" s="15">
        <f>IF(K402="","",ROUND(K402*Настройки!$B$5,2))</f>
        <v/>
      </c>
      <c r="M402" s="15">
        <f>IF(A402="","",SUMIFS(Начисления!$M$2:$M$1000,Начисления!$F$2:$F$1000,A402))</f>
        <v/>
      </c>
      <c r="N402" s="15">
        <f>IF(A402="","",SUM(K402:M402))</f>
        <v/>
      </c>
      <c r="O402" s="14" t="n"/>
      <c r="P402" s="15">
        <f>IF(A402="","",N402-O402)</f>
        <v/>
      </c>
      <c r="Q402" s="10" t="n"/>
      <c r="R402" s="10" t="n"/>
      <c r="S402" s="16">
        <f>IF(ISNUMBER(D402),D402+TIME(3,0,0),"")</f>
        <v/>
      </c>
      <c r="T402" s="10" t="n"/>
      <c r="U402" s="17">
        <f>IF(OR(B402="",COUNT(D402:E402)&lt;2,E402&lt;D402,F402="Отменена"),0,MAX(0,MIN(E402,Сводка!$B$4)-MAX(D402,Сводка!$B$2)))</f>
        <v/>
      </c>
    </row>
    <row r="403">
      <c r="A403" s="9" t="n"/>
      <c r="B403" s="10" t="n"/>
      <c r="C403" s="10" t="n"/>
      <c r="D403" s="11" t="n"/>
      <c r="E403" s="11" t="n"/>
      <c r="F403" s="10" t="n"/>
      <c r="G403" s="12">
        <f>IF(B403="","",IF(OR(COUNT(D403:E403)&lt;2,E403&lt;D403),"Проверьте даты",IF(OR(F403="Отменена",F403="Возвращена"),"",IF(SUMPRODUCT(($B$2:$B$500=B403)*($D$2:$D$500&lt;=E403)*($E$2:$E$500&gt;=D403)*($F$2:$F$500&lt;&gt;"Отменена")*($F$2:$F$500&lt;&gt;"Возвращена"))&gt;1,"Пересечение","ОК"))))</f>
        <v/>
      </c>
      <c r="H403" s="12">
        <f>IF(OR(B403="",D403=""),"",IF(AND(OR(F403="Выдана",F403="Возвращена"),SUMPRODUCT(($B$2:$B$500=B403)*($D$2:$D$500=D403)*(($F$2:$F$500="Выдана")+($F$2:$F$500="Возвращена")))&gt;1),"Дубль",""))</f>
        <v/>
      </c>
      <c r="I403" s="13">
        <f>IF(OR(B403="",COUNT(D403:E403)&lt;2,E403&lt;D403),"",IF(Настройки!$B$6=Настройки!$M$3,INT(E403)-INT(D403)+1,ROUNDUP(ROUND((E403-D403)*24,2)/24,0)))</f>
        <v/>
      </c>
      <c r="J403" s="14" t="n"/>
      <c r="K403" s="15">
        <f>IF(OR(I403="",J403=""),"",IF(F403="Отменена",0,ROUND(I403*J403,2)))</f>
        <v/>
      </c>
      <c r="L403" s="15">
        <f>IF(K403="","",ROUND(K403*Настройки!$B$5,2))</f>
        <v/>
      </c>
      <c r="M403" s="15">
        <f>IF(A403="","",SUMIFS(Начисления!$M$2:$M$1000,Начисления!$F$2:$F$1000,A403))</f>
        <v/>
      </c>
      <c r="N403" s="15">
        <f>IF(A403="","",SUM(K403:M403))</f>
        <v/>
      </c>
      <c r="O403" s="14" t="n"/>
      <c r="P403" s="15">
        <f>IF(A403="","",N403-O403)</f>
        <v/>
      </c>
      <c r="Q403" s="10" t="n"/>
      <c r="R403" s="10" t="n"/>
      <c r="S403" s="16">
        <f>IF(ISNUMBER(D403),D403+TIME(3,0,0),"")</f>
        <v/>
      </c>
      <c r="T403" s="10" t="n"/>
      <c r="U403" s="17">
        <f>IF(OR(B403="",COUNT(D403:E403)&lt;2,E403&lt;D403,F403="Отменена"),0,MAX(0,MIN(E403,Сводка!$B$4)-MAX(D403,Сводка!$B$2)))</f>
        <v/>
      </c>
    </row>
    <row r="404">
      <c r="A404" s="9" t="n"/>
      <c r="B404" s="10" t="n"/>
      <c r="C404" s="10" t="n"/>
      <c r="D404" s="11" t="n"/>
      <c r="E404" s="11" t="n"/>
      <c r="F404" s="10" t="n"/>
      <c r="G404" s="12">
        <f>IF(B404="","",IF(OR(COUNT(D404:E404)&lt;2,E404&lt;D404),"Проверьте даты",IF(OR(F404="Отменена",F404="Возвращена"),"",IF(SUMPRODUCT(($B$2:$B$500=B404)*($D$2:$D$500&lt;=E404)*($E$2:$E$500&gt;=D404)*($F$2:$F$500&lt;&gt;"Отменена")*($F$2:$F$500&lt;&gt;"Возвращена"))&gt;1,"Пересечение","ОК"))))</f>
        <v/>
      </c>
      <c r="H404" s="12">
        <f>IF(OR(B404="",D404=""),"",IF(AND(OR(F404="Выдана",F404="Возвращена"),SUMPRODUCT(($B$2:$B$500=B404)*($D$2:$D$500=D404)*(($F$2:$F$500="Выдана")+($F$2:$F$500="Возвращена")))&gt;1),"Дубль",""))</f>
        <v/>
      </c>
      <c r="I404" s="13">
        <f>IF(OR(B404="",COUNT(D404:E404)&lt;2,E404&lt;D404),"",IF(Настройки!$B$6=Настройки!$M$3,INT(E404)-INT(D404)+1,ROUNDUP(ROUND((E404-D404)*24,2)/24,0)))</f>
        <v/>
      </c>
      <c r="J404" s="14" t="n"/>
      <c r="K404" s="15">
        <f>IF(OR(I404="",J404=""),"",IF(F404="Отменена",0,ROUND(I404*J404,2)))</f>
        <v/>
      </c>
      <c r="L404" s="15">
        <f>IF(K404="","",ROUND(K404*Настройки!$B$5,2))</f>
        <v/>
      </c>
      <c r="M404" s="15">
        <f>IF(A404="","",SUMIFS(Начисления!$M$2:$M$1000,Начисления!$F$2:$F$1000,A404))</f>
        <v/>
      </c>
      <c r="N404" s="15">
        <f>IF(A404="","",SUM(K404:M404))</f>
        <v/>
      </c>
      <c r="O404" s="14" t="n"/>
      <c r="P404" s="15">
        <f>IF(A404="","",N404-O404)</f>
        <v/>
      </c>
      <c r="Q404" s="10" t="n"/>
      <c r="R404" s="10" t="n"/>
      <c r="S404" s="16">
        <f>IF(ISNUMBER(D404),D404+TIME(3,0,0),"")</f>
        <v/>
      </c>
      <c r="T404" s="10" t="n"/>
      <c r="U404" s="17">
        <f>IF(OR(B404="",COUNT(D404:E404)&lt;2,E404&lt;D404,F404="Отменена"),0,MAX(0,MIN(E404,Сводка!$B$4)-MAX(D404,Сводка!$B$2)))</f>
        <v/>
      </c>
    </row>
    <row r="405">
      <c r="A405" s="9" t="n"/>
      <c r="B405" s="10" t="n"/>
      <c r="C405" s="10" t="n"/>
      <c r="D405" s="11" t="n"/>
      <c r="E405" s="11" t="n"/>
      <c r="F405" s="10" t="n"/>
      <c r="G405" s="12">
        <f>IF(B405="","",IF(OR(COUNT(D405:E405)&lt;2,E405&lt;D405),"Проверьте даты",IF(OR(F405="Отменена",F405="Возвращена"),"",IF(SUMPRODUCT(($B$2:$B$500=B405)*($D$2:$D$500&lt;=E405)*($E$2:$E$500&gt;=D405)*($F$2:$F$500&lt;&gt;"Отменена")*($F$2:$F$500&lt;&gt;"Возвращена"))&gt;1,"Пересечение","ОК"))))</f>
        <v/>
      </c>
      <c r="H405" s="12">
        <f>IF(OR(B405="",D405=""),"",IF(AND(OR(F405="Выдана",F405="Возвращена"),SUMPRODUCT(($B$2:$B$500=B405)*($D$2:$D$500=D405)*(($F$2:$F$500="Выдана")+($F$2:$F$500="Возвращена")))&gt;1),"Дубль",""))</f>
        <v/>
      </c>
      <c r="I405" s="13">
        <f>IF(OR(B405="",COUNT(D405:E405)&lt;2,E405&lt;D405),"",IF(Настройки!$B$6=Настройки!$M$3,INT(E405)-INT(D405)+1,ROUNDUP(ROUND((E405-D405)*24,2)/24,0)))</f>
        <v/>
      </c>
      <c r="J405" s="14" t="n"/>
      <c r="K405" s="15">
        <f>IF(OR(I405="",J405=""),"",IF(F405="Отменена",0,ROUND(I405*J405,2)))</f>
        <v/>
      </c>
      <c r="L405" s="15">
        <f>IF(K405="","",ROUND(K405*Настройки!$B$5,2))</f>
        <v/>
      </c>
      <c r="M405" s="15">
        <f>IF(A405="","",SUMIFS(Начисления!$M$2:$M$1000,Начисления!$F$2:$F$1000,A405))</f>
        <v/>
      </c>
      <c r="N405" s="15">
        <f>IF(A405="","",SUM(K405:M405))</f>
        <v/>
      </c>
      <c r="O405" s="14" t="n"/>
      <c r="P405" s="15">
        <f>IF(A405="","",N405-O405)</f>
        <v/>
      </c>
      <c r="Q405" s="10" t="n"/>
      <c r="R405" s="10" t="n"/>
      <c r="S405" s="16">
        <f>IF(ISNUMBER(D405),D405+TIME(3,0,0),"")</f>
        <v/>
      </c>
      <c r="T405" s="10" t="n"/>
      <c r="U405" s="17">
        <f>IF(OR(B405="",COUNT(D405:E405)&lt;2,E405&lt;D405,F405="Отменена"),0,MAX(0,MIN(E405,Сводка!$B$4)-MAX(D405,Сводка!$B$2)))</f>
        <v/>
      </c>
    </row>
    <row r="406">
      <c r="A406" s="9" t="n"/>
      <c r="B406" s="10" t="n"/>
      <c r="C406" s="10" t="n"/>
      <c r="D406" s="11" t="n"/>
      <c r="E406" s="11" t="n"/>
      <c r="F406" s="10" t="n"/>
      <c r="G406" s="12">
        <f>IF(B406="","",IF(OR(COUNT(D406:E406)&lt;2,E406&lt;D406),"Проверьте даты",IF(OR(F406="Отменена",F406="Возвращена"),"",IF(SUMPRODUCT(($B$2:$B$500=B406)*($D$2:$D$500&lt;=E406)*($E$2:$E$500&gt;=D406)*($F$2:$F$500&lt;&gt;"Отменена")*($F$2:$F$500&lt;&gt;"Возвращена"))&gt;1,"Пересечение","ОК"))))</f>
        <v/>
      </c>
      <c r="H406" s="12">
        <f>IF(OR(B406="",D406=""),"",IF(AND(OR(F406="Выдана",F406="Возвращена"),SUMPRODUCT(($B$2:$B$500=B406)*($D$2:$D$500=D406)*(($F$2:$F$500="Выдана")+($F$2:$F$500="Возвращена")))&gt;1),"Дубль",""))</f>
        <v/>
      </c>
      <c r="I406" s="13">
        <f>IF(OR(B406="",COUNT(D406:E406)&lt;2,E406&lt;D406),"",IF(Настройки!$B$6=Настройки!$M$3,INT(E406)-INT(D406)+1,ROUNDUP(ROUND((E406-D406)*24,2)/24,0)))</f>
        <v/>
      </c>
      <c r="J406" s="14" t="n"/>
      <c r="K406" s="15">
        <f>IF(OR(I406="",J406=""),"",IF(F406="Отменена",0,ROUND(I406*J406,2)))</f>
        <v/>
      </c>
      <c r="L406" s="15">
        <f>IF(K406="","",ROUND(K406*Настройки!$B$5,2))</f>
        <v/>
      </c>
      <c r="M406" s="15">
        <f>IF(A406="","",SUMIFS(Начисления!$M$2:$M$1000,Начисления!$F$2:$F$1000,A406))</f>
        <v/>
      </c>
      <c r="N406" s="15">
        <f>IF(A406="","",SUM(K406:M406))</f>
        <v/>
      </c>
      <c r="O406" s="14" t="n"/>
      <c r="P406" s="15">
        <f>IF(A406="","",N406-O406)</f>
        <v/>
      </c>
      <c r="Q406" s="10" t="n"/>
      <c r="R406" s="10" t="n"/>
      <c r="S406" s="16">
        <f>IF(ISNUMBER(D406),D406+TIME(3,0,0),"")</f>
        <v/>
      </c>
      <c r="T406" s="10" t="n"/>
      <c r="U406" s="17">
        <f>IF(OR(B406="",COUNT(D406:E406)&lt;2,E406&lt;D406,F406="Отменена"),0,MAX(0,MIN(E406,Сводка!$B$4)-MAX(D406,Сводка!$B$2)))</f>
        <v/>
      </c>
    </row>
    <row r="407">
      <c r="A407" s="9" t="n"/>
      <c r="B407" s="10" t="n"/>
      <c r="C407" s="10" t="n"/>
      <c r="D407" s="11" t="n"/>
      <c r="E407" s="11" t="n"/>
      <c r="F407" s="10" t="n"/>
      <c r="G407" s="12">
        <f>IF(B407="","",IF(OR(COUNT(D407:E407)&lt;2,E407&lt;D407),"Проверьте даты",IF(OR(F407="Отменена",F407="Возвращена"),"",IF(SUMPRODUCT(($B$2:$B$500=B407)*($D$2:$D$500&lt;=E407)*($E$2:$E$500&gt;=D407)*($F$2:$F$500&lt;&gt;"Отменена")*($F$2:$F$500&lt;&gt;"Возвращена"))&gt;1,"Пересечение","ОК"))))</f>
        <v/>
      </c>
      <c r="H407" s="12">
        <f>IF(OR(B407="",D407=""),"",IF(AND(OR(F407="Выдана",F407="Возвращена"),SUMPRODUCT(($B$2:$B$500=B407)*($D$2:$D$500=D407)*(($F$2:$F$500="Выдана")+($F$2:$F$500="Возвращена")))&gt;1),"Дубль",""))</f>
        <v/>
      </c>
      <c r="I407" s="13">
        <f>IF(OR(B407="",COUNT(D407:E407)&lt;2,E407&lt;D407),"",IF(Настройки!$B$6=Настройки!$M$3,INT(E407)-INT(D407)+1,ROUNDUP(ROUND((E407-D407)*24,2)/24,0)))</f>
        <v/>
      </c>
      <c r="J407" s="14" t="n"/>
      <c r="K407" s="15">
        <f>IF(OR(I407="",J407=""),"",IF(F407="Отменена",0,ROUND(I407*J407,2)))</f>
        <v/>
      </c>
      <c r="L407" s="15">
        <f>IF(K407="","",ROUND(K407*Настройки!$B$5,2))</f>
        <v/>
      </c>
      <c r="M407" s="15">
        <f>IF(A407="","",SUMIFS(Начисления!$M$2:$M$1000,Начисления!$F$2:$F$1000,A407))</f>
        <v/>
      </c>
      <c r="N407" s="15">
        <f>IF(A407="","",SUM(K407:M407))</f>
        <v/>
      </c>
      <c r="O407" s="14" t="n"/>
      <c r="P407" s="15">
        <f>IF(A407="","",N407-O407)</f>
        <v/>
      </c>
      <c r="Q407" s="10" t="n"/>
      <c r="R407" s="10" t="n"/>
      <c r="S407" s="16">
        <f>IF(ISNUMBER(D407),D407+TIME(3,0,0),"")</f>
        <v/>
      </c>
      <c r="T407" s="10" t="n"/>
      <c r="U407" s="17">
        <f>IF(OR(B407="",COUNT(D407:E407)&lt;2,E407&lt;D407,F407="Отменена"),0,MAX(0,MIN(E407,Сводка!$B$4)-MAX(D407,Сводка!$B$2)))</f>
        <v/>
      </c>
    </row>
    <row r="408">
      <c r="A408" s="9" t="n"/>
      <c r="B408" s="10" t="n"/>
      <c r="C408" s="10" t="n"/>
      <c r="D408" s="11" t="n"/>
      <c r="E408" s="11" t="n"/>
      <c r="F408" s="10" t="n"/>
      <c r="G408" s="12">
        <f>IF(B408="","",IF(OR(COUNT(D408:E408)&lt;2,E408&lt;D408),"Проверьте даты",IF(OR(F408="Отменена",F408="Возвращена"),"",IF(SUMPRODUCT(($B$2:$B$500=B408)*($D$2:$D$500&lt;=E408)*($E$2:$E$500&gt;=D408)*($F$2:$F$500&lt;&gt;"Отменена")*($F$2:$F$500&lt;&gt;"Возвращена"))&gt;1,"Пересечение","ОК"))))</f>
        <v/>
      </c>
      <c r="H408" s="12">
        <f>IF(OR(B408="",D408=""),"",IF(AND(OR(F408="Выдана",F408="Возвращена"),SUMPRODUCT(($B$2:$B$500=B408)*($D$2:$D$500=D408)*(($F$2:$F$500="Выдана")+($F$2:$F$500="Возвращена")))&gt;1),"Дубль",""))</f>
        <v/>
      </c>
      <c r="I408" s="13">
        <f>IF(OR(B408="",COUNT(D408:E408)&lt;2,E408&lt;D408),"",IF(Настройки!$B$6=Настройки!$M$3,INT(E408)-INT(D408)+1,ROUNDUP(ROUND((E408-D408)*24,2)/24,0)))</f>
        <v/>
      </c>
      <c r="J408" s="14" t="n"/>
      <c r="K408" s="15">
        <f>IF(OR(I408="",J408=""),"",IF(F408="Отменена",0,ROUND(I408*J408,2)))</f>
        <v/>
      </c>
      <c r="L408" s="15">
        <f>IF(K408="","",ROUND(K408*Настройки!$B$5,2))</f>
        <v/>
      </c>
      <c r="M408" s="15">
        <f>IF(A408="","",SUMIFS(Начисления!$M$2:$M$1000,Начисления!$F$2:$F$1000,A408))</f>
        <v/>
      </c>
      <c r="N408" s="15">
        <f>IF(A408="","",SUM(K408:M408))</f>
        <v/>
      </c>
      <c r="O408" s="14" t="n"/>
      <c r="P408" s="15">
        <f>IF(A408="","",N408-O408)</f>
        <v/>
      </c>
      <c r="Q408" s="10" t="n"/>
      <c r="R408" s="10" t="n"/>
      <c r="S408" s="16">
        <f>IF(ISNUMBER(D408),D408+TIME(3,0,0),"")</f>
        <v/>
      </c>
      <c r="T408" s="10" t="n"/>
      <c r="U408" s="17">
        <f>IF(OR(B408="",COUNT(D408:E408)&lt;2,E408&lt;D408,F408="Отменена"),0,MAX(0,MIN(E408,Сводка!$B$4)-MAX(D408,Сводка!$B$2)))</f>
        <v/>
      </c>
    </row>
    <row r="409">
      <c r="A409" s="9" t="n"/>
      <c r="B409" s="10" t="n"/>
      <c r="C409" s="10" t="n"/>
      <c r="D409" s="11" t="n"/>
      <c r="E409" s="11" t="n"/>
      <c r="F409" s="10" t="n"/>
      <c r="G409" s="12">
        <f>IF(B409="","",IF(OR(COUNT(D409:E409)&lt;2,E409&lt;D409),"Проверьте даты",IF(OR(F409="Отменена",F409="Возвращена"),"",IF(SUMPRODUCT(($B$2:$B$500=B409)*($D$2:$D$500&lt;=E409)*($E$2:$E$500&gt;=D409)*($F$2:$F$500&lt;&gt;"Отменена")*($F$2:$F$500&lt;&gt;"Возвращена"))&gt;1,"Пересечение","ОК"))))</f>
        <v/>
      </c>
      <c r="H409" s="12">
        <f>IF(OR(B409="",D409=""),"",IF(AND(OR(F409="Выдана",F409="Возвращена"),SUMPRODUCT(($B$2:$B$500=B409)*($D$2:$D$500=D409)*(($F$2:$F$500="Выдана")+($F$2:$F$500="Возвращена")))&gt;1),"Дубль",""))</f>
        <v/>
      </c>
      <c r="I409" s="13">
        <f>IF(OR(B409="",COUNT(D409:E409)&lt;2,E409&lt;D409),"",IF(Настройки!$B$6=Настройки!$M$3,INT(E409)-INT(D409)+1,ROUNDUP(ROUND((E409-D409)*24,2)/24,0)))</f>
        <v/>
      </c>
      <c r="J409" s="14" t="n"/>
      <c r="K409" s="15">
        <f>IF(OR(I409="",J409=""),"",IF(F409="Отменена",0,ROUND(I409*J409,2)))</f>
        <v/>
      </c>
      <c r="L409" s="15">
        <f>IF(K409="","",ROUND(K409*Настройки!$B$5,2))</f>
        <v/>
      </c>
      <c r="M409" s="15">
        <f>IF(A409="","",SUMIFS(Начисления!$M$2:$M$1000,Начисления!$F$2:$F$1000,A409))</f>
        <v/>
      </c>
      <c r="N409" s="15">
        <f>IF(A409="","",SUM(K409:M409))</f>
        <v/>
      </c>
      <c r="O409" s="14" t="n"/>
      <c r="P409" s="15">
        <f>IF(A409="","",N409-O409)</f>
        <v/>
      </c>
      <c r="Q409" s="10" t="n"/>
      <c r="R409" s="10" t="n"/>
      <c r="S409" s="16">
        <f>IF(ISNUMBER(D409),D409+TIME(3,0,0),"")</f>
        <v/>
      </c>
      <c r="T409" s="10" t="n"/>
      <c r="U409" s="17">
        <f>IF(OR(B409="",COUNT(D409:E409)&lt;2,E409&lt;D409,F409="Отменена"),0,MAX(0,MIN(E409,Сводка!$B$4)-MAX(D409,Сводка!$B$2)))</f>
        <v/>
      </c>
    </row>
    <row r="410">
      <c r="A410" s="9" t="n"/>
      <c r="B410" s="10" t="n"/>
      <c r="C410" s="10" t="n"/>
      <c r="D410" s="11" t="n"/>
      <c r="E410" s="11" t="n"/>
      <c r="F410" s="10" t="n"/>
      <c r="G410" s="12">
        <f>IF(B410="","",IF(OR(COUNT(D410:E410)&lt;2,E410&lt;D410),"Проверьте даты",IF(OR(F410="Отменена",F410="Возвращена"),"",IF(SUMPRODUCT(($B$2:$B$500=B410)*($D$2:$D$500&lt;=E410)*($E$2:$E$500&gt;=D410)*($F$2:$F$500&lt;&gt;"Отменена")*($F$2:$F$500&lt;&gt;"Возвращена"))&gt;1,"Пересечение","ОК"))))</f>
        <v/>
      </c>
      <c r="H410" s="12">
        <f>IF(OR(B410="",D410=""),"",IF(AND(OR(F410="Выдана",F410="Возвращена"),SUMPRODUCT(($B$2:$B$500=B410)*($D$2:$D$500=D410)*(($F$2:$F$500="Выдана")+($F$2:$F$500="Возвращена")))&gt;1),"Дубль",""))</f>
        <v/>
      </c>
      <c r="I410" s="13">
        <f>IF(OR(B410="",COUNT(D410:E410)&lt;2,E410&lt;D410),"",IF(Настройки!$B$6=Настройки!$M$3,INT(E410)-INT(D410)+1,ROUNDUP(ROUND((E410-D410)*24,2)/24,0)))</f>
        <v/>
      </c>
      <c r="J410" s="14" t="n"/>
      <c r="K410" s="15">
        <f>IF(OR(I410="",J410=""),"",IF(F410="Отменена",0,ROUND(I410*J410,2)))</f>
        <v/>
      </c>
      <c r="L410" s="15">
        <f>IF(K410="","",ROUND(K410*Настройки!$B$5,2))</f>
        <v/>
      </c>
      <c r="M410" s="15">
        <f>IF(A410="","",SUMIFS(Начисления!$M$2:$M$1000,Начисления!$F$2:$F$1000,A410))</f>
        <v/>
      </c>
      <c r="N410" s="15">
        <f>IF(A410="","",SUM(K410:M410))</f>
        <v/>
      </c>
      <c r="O410" s="14" t="n"/>
      <c r="P410" s="15">
        <f>IF(A410="","",N410-O410)</f>
        <v/>
      </c>
      <c r="Q410" s="10" t="n"/>
      <c r="R410" s="10" t="n"/>
      <c r="S410" s="16">
        <f>IF(ISNUMBER(D410),D410+TIME(3,0,0),"")</f>
        <v/>
      </c>
      <c r="T410" s="10" t="n"/>
      <c r="U410" s="17">
        <f>IF(OR(B410="",COUNT(D410:E410)&lt;2,E410&lt;D410,F410="Отменена"),0,MAX(0,MIN(E410,Сводка!$B$4)-MAX(D410,Сводка!$B$2)))</f>
        <v/>
      </c>
    </row>
    <row r="411">
      <c r="A411" s="9" t="n"/>
      <c r="B411" s="10" t="n"/>
      <c r="C411" s="10" t="n"/>
      <c r="D411" s="11" t="n"/>
      <c r="E411" s="11" t="n"/>
      <c r="F411" s="10" t="n"/>
      <c r="G411" s="12">
        <f>IF(B411="","",IF(OR(COUNT(D411:E411)&lt;2,E411&lt;D411),"Проверьте даты",IF(OR(F411="Отменена",F411="Возвращена"),"",IF(SUMPRODUCT(($B$2:$B$500=B411)*($D$2:$D$500&lt;=E411)*($E$2:$E$500&gt;=D411)*($F$2:$F$500&lt;&gt;"Отменена")*($F$2:$F$500&lt;&gt;"Возвращена"))&gt;1,"Пересечение","ОК"))))</f>
        <v/>
      </c>
      <c r="H411" s="12">
        <f>IF(OR(B411="",D411=""),"",IF(AND(OR(F411="Выдана",F411="Возвращена"),SUMPRODUCT(($B$2:$B$500=B411)*($D$2:$D$500=D411)*(($F$2:$F$500="Выдана")+($F$2:$F$500="Возвращена")))&gt;1),"Дубль",""))</f>
        <v/>
      </c>
      <c r="I411" s="13">
        <f>IF(OR(B411="",COUNT(D411:E411)&lt;2,E411&lt;D411),"",IF(Настройки!$B$6=Настройки!$M$3,INT(E411)-INT(D411)+1,ROUNDUP(ROUND((E411-D411)*24,2)/24,0)))</f>
        <v/>
      </c>
      <c r="J411" s="14" t="n"/>
      <c r="K411" s="15">
        <f>IF(OR(I411="",J411=""),"",IF(F411="Отменена",0,ROUND(I411*J411,2)))</f>
        <v/>
      </c>
      <c r="L411" s="15">
        <f>IF(K411="","",ROUND(K411*Настройки!$B$5,2))</f>
        <v/>
      </c>
      <c r="M411" s="15">
        <f>IF(A411="","",SUMIFS(Начисления!$M$2:$M$1000,Начисления!$F$2:$F$1000,A411))</f>
        <v/>
      </c>
      <c r="N411" s="15">
        <f>IF(A411="","",SUM(K411:M411))</f>
        <v/>
      </c>
      <c r="O411" s="14" t="n"/>
      <c r="P411" s="15">
        <f>IF(A411="","",N411-O411)</f>
        <v/>
      </c>
      <c r="Q411" s="10" t="n"/>
      <c r="R411" s="10" t="n"/>
      <c r="S411" s="16">
        <f>IF(ISNUMBER(D411),D411+TIME(3,0,0),"")</f>
        <v/>
      </c>
      <c r="T411" s="10" t="n"/>
      <c r="U411" s="17">
        <f>IF(OR(B411="",COUNT(D411:E411)&lt;2,E411&lt;D411,F411="Отменена"),0,MAX(0,MIN(E411,Сводка!$B$4)-MAX(D411,Сводка!$B$2)))</f>
        <v/>
      </c>
    </row>
    <row r="412">
      <c r="A412" s="9" t="n"/>
      <c r="B412" s="10" t="n"/>
      <c r="C412" s="10" t="n"/>
      <c r="D412" s="11" t="n"/>
      <c r="E412" s="11" t="n"/>
      <c r="F412" s="10" t="n"/>
      <c r="G412" s="12">
        <f>IF(B412="","",IF(OR(COUNT(D412:E412)&lt;2,E412&lt;D412),"Проверьте даты",IF(OR(F412="Отменена",F412="Возвращена"),"",IF(SUMPRODUCT(($B$2:$B$500=B412)*($D$2:$D$500&lt;=E412)*($E$2:$E$500&gt;=D412)*($F$2:$F$500&lt;&gt;"Отменена")*($F$2:$F$500&lt;&gt;"Возвращена"))&gt;1,"Пересечение","ОК"))))</f>
        <v/>
      </c>
      <c r="H412" s="12">
        <f>IF(OR(B412="",D412=""),"",IF(AND(OR(F412="Выдана",F412="Возвращена"),SUMPRODUCT(($B$2:$B$500=B412)*($D$2:$D$500=D412)*(($F$2:$F$500="Выдана")+($F$2:$F$500="Возвращена")))&gt;1),"Дубль",""))</f>
        <v/>
      </c>
      <c r="I412" s="13">
        <f>IF(OR(B412="",COUNT(D412:E412)&lt;2,E412&lt;D412),"",IF(Настройки!$B$6=Настройки!$M$3,INT(E412)-INT(D412)+1,ROUNDUP(ROUND((E412-D412)*24,2)/24,0)))</f>
        <v/>
      </c>
      <c r="J412" s="14" t="n"/>
      <c r="K412" s="15">
        <f>IF(OR(I412="",J412=""),"",IF(F412="Отменена",0,ROUND(I412*J412,2)))</f>
        <v/>
      </c>
      <c r="L412" s="15">
        <f>IF(K412="","",ROUND(K412*Настройки!$B$5,2))</f>
        <v/>
      </c>
      <c r="M412" s="15">
        <f>IF(A412="","",SUMIFS(Начисления!$M$2:$M$1000,Начисления!$F$2:$F$1000,A412))</f>
        <v/>
      </c>
      <c r="N412" s="15">
        <f>IF(A412="","",SUM(K412:M412))</f>
        <v/>
      </c>
      <c r="O412" s="14" t="n"/>
      <c r="P412" s="15">
        <f>IF(A412="","",N412-O412)</f>
        <v/>
      </c>
      <c r="Q412" s="10" t="n"/>
      <c r="R412" s="10" t="n"/>
      <c r="S412" s="16">
        <f>IF(ISNUMBER(D412),D412+TIME(3,0,0),"")</f>
        <v/>
      </c>
      <c r="T412" s="10" t="n"/>
      <c r="U412" s="17">
        <f>IF(OR(B412="",COUNT(D412:E412)&lt;2,E412&lt;D412,F412="Отменена"),0,MAX(0,MIN(E412,Сводка!$B$4)-MAX(D412,Сводка!$B$2)))</f>
        <v/>
      </c>
    </row>
    <row r="413">
      <c r="A413" s="9" t="n"/>
      <c r="B413" s="10" t="n"/>
      <c r="C413" s="10" t="n"/>
      <c r="D413" s="11" t="n"/>
      <c r="E413" s="11" t="n"/>
      <c r="F413" s="10" t="n"/>
      <c r="G413" s="12">
        <f>IF(B413="","",IF(OR(COUNT(D413:E413)&lt;2,E413&lt;D413),"Проверьте даты",IF(OR(F413="Отменена",F413="Возвращена"),"",IF(SUMPRODUCT(($B$2:$B$500=B413)*($D$2:$D$500&lt;=E413)*($E$2:$E$500&gt;=D413)*($F$2:$F$500&lt;&gt;"Отменена")*($F$2:$F$500&lt;&gt;"Возвращена"))&gt;1,"Пересечение","ОК"))))</f>
        <v/>
      </c>
      <c r="H413" s="12">
        <f>IF(OR(B413="",D413=""),"",IF(AND(OR(F413="Выдана",F413="Возвращена"),SUMPRODUCT(($B$2:$B$500=B413)*($D$2:$D$500=D413)*(($F$2:$F$500="Выдана")+($F$2:$F$500="Возвращена")))&gt;1),"Дубль",""))</f>
        <v/>
      </c>
      <c r="I413" s="13">
        <f>IF(OR(B413="",COUNT(D413:E413)&lt;2,E413&lt;D413),"",IF(Настройки!$B$6=Настройки!$M$3,INT(E413)-INT(D413)+1,ROUNDUP(ROUND((E413-D413)*24,2)/24,0)))</f>
        <v/>
      </c>
      <c r="J413" s="14" t="n"/>
      <c r="K413" s="15">
        <f>IF(OR(I413="",J413=""),"",IF(F413="Отменена",0,ROUND(I413*J413,2)))</f>
        <v/>
      </c>
      <c r="L413" s="15">
        <f>IF(K413="","",ROUND(K413*Настройки!$B$5,2))</f>
        <v/>
      </c>
      <c r="M413" s="15">
        <f>IF(A413="","",SUMIFS(Начисления!$M$2:$M$1000,Начисления!$F$2:$F$1000,A413))</f>
        <v/>
      </c>
      <c r="N413" s="15">
        <f>IF(A413="","",SUM(K413:M413))</f>
        <v/>
      </c>
      <c r="O413" s="14" t="n"/>
      <c r="P413" s="15">
        <f>IF(A413="","",N413-O413)</f>
        <v/>
      </c>
      <c r="Q413" s="10" t="n"/>
      <c r="R413" s="10" t="n"/>
      <c r="S413" s="16">
        <f>IF(ISNUMBER(D413),D413+TIME(3,0,0),"")</f>
        <v/>
      </c>
      <c r="T413" s="10" t="n"/>
      <c r="U413" s="17">
        <f>IF(OR(B413="",COUNT(D413:E413)&lt;2,E413&lt;D413,F413="Отменена"),0,MAX(0,MIN(E413,Сводка!$B$4)-MAX(D413,Сводка!$B$2)))</f>
        <v/>
      </c>
    </row>
    <row r="414">
      <c r="A414" s="9" t="n"/>
      <c r="B414" s="10" t="n"/>
      <c r="C414" s="10" t="n"/>
      <c r="D414" s="11" t="n"/>
      <c r="E414" s="11" t="n"/>
      <c r="F414" s="10" t="n"/>
      <c r="G414" s="12">
        <f>IF(B414="","",IF(OR(COUNT(D414:E414)&lt;2,E414&lt;D414),"Проверьте даты",IF(OR(F414="Отменена",F414="Возвращена"),"",IF(SUMPRODUCT(($B$2:$B$500=B414)*($D$2:$D$500&lt;=E414)*($E$2:$E$500&gt;=D414)*($F$2:$F$500&lt;&gt;"Отменена")*($F$2:$F$500&lt;&gt;"Возвращена"))&gt;1,"Пересечение","ОК"))))</f>
        <v/>
      </c>
      <c r="H414" s="12">
        <f>IF(OR(B414="",D414=""),"",IF(AND(OR(F414="Выдана",F414="Возвращена"),SUMPRODUCT(($B$2:$B$500=B414)*($D$2:$D$500=D414)*(($F$2:$F$500="Выдана")+($F$2:$F$500="Возвращена")))&gt;1),"Дубль",""))</f>
        <v/>
      </c>
      <c r="I414" s="13">
        <f>IF(OR(B414="",COUNT(D414:E414)&lt;2,E414&lt;D414),"",IF(Настройки!$B$6=Настройки!$M$3,INT(E414)-INT(D414)+1,ROUNDUP(ROUND((E414-D414)*24,2)/24,0)))</f>
        <v/>
      </c>
      <c r="J414" s="14" t="n"/>
      <c r="K414" s="15">
        <f>IF(OR(I414="",J414=""),"",IF(F414="Отменена",0,ROUND(I414*J414,2)))</f>
        <v/>
      </c>
      <c r="L414" s="15">
        <f>IF(K414="","",ROUND(K414*Настройки!$B$5,2))</f>
        <v/>
      </c>
      <c r="M414" s="15">
        <f>IF(A414="","",SUMIFS(Начисления!$M$2:$M$1000,Начисления!$F$2:$F$1000,A414))</f>
        <v/>
      </c>
      <c r="N414" s="15">
        <f>IF(A414="","",SUM(K414:M414))</f>
        <v/>
      </c>
      <c r="O414" s="14" t="n"/>
      <c r="P414" s="15">
        <f>IF(A414="","",N414-O414)</f>
        <v/>
      </c>
      <c r="Q414" s="10" t="n"/>
      <c r="R414" s="10" t="n"/>
      <c r="S414" s="16">
        <f>IF(ISNUMBER(D414),D414+TIME(3,0,0),"")</f>
        <v/>
      </c>
      <c r="T414" s="10" t="n"/>
      <c r="U414" s="17">
        <f>IF(OR(B414="",COUNT(D414:E414)&lt;2,E414&lt;D414,F414="Отменена"),0,MAX(0,MIN(E414,Сводка!$B$4)-MAX(D414,Сводка!$B$2)))</f>
        <v/>
      </c>
    </row>
    <row r="415">
      <c r="A415" s="9" t="n"/>
      <c r="B415" s="10" t="n"/>
      <c r="C415" s="10" t="n"/>
      <c r="D415" s="11" t="n"/>
      <c r="E415" s="11" t="n"/>
      <c r="F415" s="10" t="n"/>
      <c r="G415" s="12">
        <f>IF(B415="","",IF(OR(COUNT(D415:E415)&lt;2,E415&lt;D415),"Проверьте даты",IF(OR(F415="Отменена",F415="Возвращена"),"",IF(SUMPRODUCT(($B$2:$B$500=B415)*($D$2:$D$500&lt;=E415)*($E$2:$E$500&gt;=D415)*($F$2:$F$500&lt;&gt;"Отменена")*($F$2:$F$500&lt;&gt;"Возвращена"))&gt;1,"Пересечение","ОК"))))</f>
        <v/>
      </c>
      <c r="H415" s="12">
        <f>IF(OR(B415="",D415=""),"",IF(AND(OR(F415="Выдана",F415="Возвращена"),SUMPRODUCT(($B$2:$B$500=B415)*($D$2:$D$500=D415)*(($F$2:$F$500="Выдана")+($F$2:$F$500="Возвращена")))&gt;1),"Дубль",""))</f>
        <v/>
      </c>
      <c r="I415" s="13">
        <f>IF(OR(B415="",COUNT(D415:E415)&lt;2,E415&lt;D415),"",IF(Настройки!$B$6=Настройки!$M$3,INT(E415)-INT(D415)+1,ROUNDUP(ROUND((E415-D415)*24,2)/24,0)))</f>
        <v/>
      </c>
      <c r="J415" s="14" t="n"/>
      <c r="K415" s="15">
        <f>IF(OR(I415="",J415=""),"",IF(F415="Отменена",0,ROUND(I415*J415,2)))</f>
        <v/>
      </c>
      <c r="L415" s="15">
        <f>IF(K415="","",ROUND(K415*Настройки!$B$5,2))</f>
        <v/>
      </c>
      <c r="M415" s="15">
        <f>IF(A415="","",SUMIFS(Начисления!$M$2:$M$1000,Начисления!$F$2:$F$1000,A415))</f>
        <v/>
      </c>
      <c r="N415" s="15">
        <f>IF(A415="","",SUM(K415:M415))</f>
        <v/>
      </c>
      <c r="O415" s="14" t="n"/>
      <c r="P415" s="15">
        <f>IF(A415="","",N415-O415)</f>
        <v/>
      </c>
      <c r="Q415" s="10" t="n"/>
      <c r="R415" s="10" t="n"/>
      <c r="S415" s="16">
        <f>IF(ISNUMBER(D415),D415+TIME(3,0,0),"")</f>
        <v/>
      </c>
      <c r="T415" s="10" t="n"/>
      <c r="U415" s="17">
        <f>IF(OR(B415="",COUNT(D415:E415)&lt;2,E415&lt;D415,F415="Отменена"),0,MAX(0,MIN(E415,Сводка!$B$4)-MAX(D415,Сводка!$B$2)))</f>
        <v/>
      </c>
    </row>
    <row r="416">
      <c r="A416" s="9" t="n"/>
      <c r="B416" s="10" t="n"/>
      <c r="C416" s="10" t="n"/>
      <c r="D416" s="11" t="n"/>
      <c r="E416" s="11" t="n"/>
      <c r="F416" s="10" t="n"/>
      <c r="G416" s="12">
        <f>IF(B416="","",IF(OR(COUNT(D416:E416)&lt;2,E416&lt;D416),"Проверьте даты",IF(OR(F416="Отменена",F416="Возвращена"),"",IF(SUMPRODUCT(($B$2:$B$500=B416)*($D$2:$D$500&lt;=E416)*($E$2:$E$500&gt;=D416)*($F$2:$F$500&lt;&gt;"Отменена")*($F$2:$F$500&lt;&gt;"Возвращена"))&gt;1,"Пересечение","ОК"))))</f>
        <v/>
      </c>
      <c r="H416" s="12">
        <f>IF(OR(B416="",D416=""),"",IF(AND(OR(F416="Выдана",F416="Возвращена"),SUMPRODUCT(($B$2:$B$500=B416)*($D$2:$D$500=D416)*(($F$2:$F$500="Выдана")+($F$2:$F$500="Возвращена")))&gt;1),"Дубль",""))</f>
        <v/>
      </c>
      <c r="I416" s="13">
        <f>IF(OR(B416="",COUNT(D416:E416)&lt;2,E416&lt;D416),"",IF(Настройки!$B$6=Настройки!$M$3,INT(E416)-INT(D416)+1,ROUNDUP(ROUND((E416-D416)*24,2)/24,0)))</f>
        <v/>
      </c>
      <c r="J416" s="14" t="n"/>
      <c r="K416" s="15">
        <f>IF(OR(I416="",J416=""),"",IF(F416="Отменена",0,ROUND(I416*J416,2)))</f>
        <v/>
      </c>
      <c r="L416" s="15">
        <f>IF(K416="","",ROUND(K416*Настройки!$B$5,2))</f>
        <v/>
      </c>
      <c r="M416" s="15">
        <f>IF(A416="","",SUMIFS(Начисления!$M$2:$M$1000,Начисления!$F$2:$F$1000,A416))</f>
        <v/>
      </c>
      <c r="N416" s="15">
        <f>IF(A416="","",SUM(K416:M416))</f>
        <v/>
      </c>
      <c r="O416" s="14" t="n"/>
      <c r="P416" s="15">
        <f>IF(A416="","",N416-O416)</f>
        <v/>
      </c>
      <c r="Q416" s="10" t="n"/>
      <c r="R416" s="10" t="n"/>
      <c r="S416" s="16">
        <f>IF(ISNUMBER(D416),D416+TIME(3,0,0),"")</f>
        <v/>
      </c>
      <c r="T416" s="10" t="n"/>
      <c r="U416" s="17">
        <f>IF(OR(B416="",COUNT(D416:E416)&lt;2,E416&lt;D416,F416="Отменена"),0,MAX(0,MIN(E416,Сводка!$B$4)-MAX(D416,Сводка!$B$2)))</f>
        <v/>
      </c>
    </row>
    <row r="417">
      <c r="A417" s="9" t="n"/>
      <c r="B417" s="10" t="n"/>
      <c r="C417" s="10" t="n"/>
      <c r="D417" s="11" t="n"/>
      <c r="E417" s="11" t="n"/>
      <c r="F417" s="10" t="n"/>
      <c r="G417" s="12">
        <f>IF(B417="","",IF(OR(COUNT(D417:E417)&lt;2,E417&lt;D417),"Проверьте даты",IF(OR(F417="Отменена",F417="Возвращена"),"",IF(SUMPRODUCT(($B$2:$B$500=B417)*($D$2:$D$500&lt;=E417)*($E$2:$E$500&gt;=D417)*($F$2:$F$500&lt;&gt;"Отменена")*($F$2:$F$500&lt;&gt;"Возвращена"))&gt;1,"Пересечение","ОК"))))</f>
        <v/>
      </c>
      <c r="H417" s="12">
        <f>IF(OR(B417="",D417=""),"",IF(AND(OR(F417="Выдана",F417="Возвращена"),SUMPRODUCT(($B$2:$B$500=B417)*($D$2:$D$500=D417)*(($F$2:$F$500="Выдана")+($F$2:$F$500="Возвращена")))&gt;1),"Дубль",""))</f>
        <v/>
      </c>
      <c r="I417" s="13">
        <f>IF(OR(B417="",COUNT(D417:E417)&lt;2,E417&lt;D417),"",IF(Настройки!$B$6=Настройки!$M$3,INT(E417)-INT(D417)+1,ROUNDUP(ROUND((E417-D417)*24,2)/24,0)))</f>
        <v/>
      </c>
      <c r="J417" s="14" t="n"/>
      <c r="K417" s="15">
        <f>IF(OR(I417="",J417=""),"",IF(F417="Отменена",0,ROUND(I417*J417,2)))</f>
        <v/>
      </c>
      <c r="L417" s="15">
        <f>IF(K417="","",ROUND(K417*Настройки!$B$5,2))</f>
        <v/>
      </c>
      <c r="M417" s="15">
        <f>IF(A417="","",SUMIFS(Начисления!$M$2:$M$1000,Начисления!$F$2:$F$1000,A417))</f>
        <v/>
      </c>
      <c r="N417" s="15">
        <f>IF(A417="","",SUM(K417:M417))</f>
        <v/>
      </c>
      <c r="O417" s="14" t="n"/>
      <c r="P417" s="15">
        <f>IF(A417="","",N417-O417)</f>
        <v/>
      </c>
      <c r="Q417" s="10" t="n"/>
      <c r="R417" s="10" t="n"/>
      <c r="S417" s="16">
        <f>IF(ISNUMBER(D417),D417+TIME(3,0,0),"")</f>
        <v/>
      </c>
      <c r="T417" s="10" t="n"/>
      <c r="U417" s="17">
        <f>IF(OR(B417="",COUNT(D417:E417)&lt;2,E417&lt;D417,F417="Отменена"),0,MAX(0,MIN(E417,Сводка!$B$4)-MAX(D417,Сводка!$B$2)))</f>
        <v/>
      </c>
    </row>
    <row r="418">
      <c r="A418" s="9" t="n"/>
      <c r="B418" s="10" t="n"/>
      <c r="C418" s="10" t="n"/>
      <c r="D418" s="11" t="n"/>
      <c r="E418" s="11" t="n"/>
      <c r="F418" s="10" t="n"/>
      <c r="G418" s="12">
        <f>IF(B418="","",IF(OR(COUNT(D418:E418)&lt;2,E418&lt;D418),"Проверьте даты",IF(OR(F418="Отменена",F418="Возвращена"),"",IF(SUMPRODUCT(($B$2:$B$500=B418)*($D$2:$D$500&lt;=E418)*($E$2:$E$500&gt;=D418)*($F$2:$F$500&lt;&gt;"Отменена")*($F$2:$F$500&lt;&gt;"Возвращена"))&gt;1,"Пересечение","ОК"))))</f>
        <v/>
      </c>
      <c r="H418" s="12">
        <f>IF(OR(B418="",D418=""),"",IF(AND(OR(F418="Выдана",F418="Возвращена"),SUMPRODUCT(($B$2:$B$500=B418)*($D$2:$D$500=D418)*(($F$2:$F$500="Выдана")+($F$2:$F$500="Возвращена")))&gt;1),"Дубль",""))</f>
        <v/>
      </c>
      <c r="I418" s="13">
        <f>IF(OR(B418="",COUNT(D418:E418)&lt;2,E418&lt;D418),"",IF(Настройки!$B$6=Настройки!$M$3,INT(E418)-INT(D418)+1,ROUNDUP(ROUND((E418-D418)*24,2)/24,0)))</f>
        <v/>
      </c>
      <c r="J418" s="14" t="n"/>
      <c r="K418" s="15">
        <f>IF(OR(I418="",J418=""),"",IF(F418="Отменена",0,ROUND(I418*J418,2)))</f>
        <v/>
      </c>
      <c r="L418" s="15">
        <f>IF(K418="","",ROUND(K418*Настройки!$B$5,2))</f>
        <v/>
      </c>
      <c r="M418" s="15">
        <f>IF(A418="","",SUMIFS(Начисления!$M$2:$M$1000,Начисления!$F$2:$F$1000,A418))</f>
        <v/>
      </c>
      <c r="N418" s="15">
        <f>IF(A418="","",SUM(K418:M418))</f>
        <v/>
      </c>
      <c r="O418" s="14" t="n"/>
      <c r="P418" s="15">
        <f>IF(A418="","",N418-O418)</f>
        <v/>
      </c>
      <c r="Q418" s="10" t="n"/>
      <c r="R418" s="10" t="n"/>
      <c r="S418" s="16">
        <f>IF(ISNUMBER(D418),D418+TIME(3,0,0),"")</f>
        <v/>
      </c>
      <c r="T418" s="10" t="n"/>
      <c r="U418" s="17">
        <f>IF(OR(B418="",COUNT(D418:E418)&lt;2,E418&lt;D418,F418="Отменена"),0,MAX(0,MIN(E418,Сводка!$B$4)-MAX(D418,Сводка!$B$2)))</f>
        <v/>
      </c>
    </row>
    <row r="419">
      <c r="A419" s="9" t="n"/>
      <c r="B419" s="10" t="n"/>
      <c r="C419" s="10" t="n"/>
      <c r="D419" s="11" t="n"/>
      <c r="E419" s="11" t="n"/>
      <c r="F419" s="10" t="n"/>
      <c r="G419" s="12">
        <f>IF(B419="","",IF(OR(COUNT(D419:E419)&lt;2,E419&lt;D419),"Проверьте даты",IF(OR(F419="Отменена",F419="Возвращена"),"",IF(SUMPRODUCT(($B$2:$B$500=B419)*($D$2:$D$500&lt;=E419)*($E$2:$E$500&gt;=D419)*($F$2:$F$500&lt;&gt;"Отменена")*($F$2:$F$500&lt;&gt;"Возвращена"))&gt;1,"Пересечение","ОК"))))</f>
        <v/>
      </c>
      <c r="H419" s="12">
        <f>IF(OR(B419="",D419=""),"",IF(AND(OR(F419="Выдана",F419="Возвращена"),SUMPRODUCT(($B$2:$B$500=B419)*($D$2:$D$500=D419)*(($F$2:$F$500="Выдана")+($F$2:$F$500="Возвращена")))&gt;1),"Дубль",""))</f>
        <v/>
      </c>
      <c r="I419" s="13">
        <f>IF(OR(B419="",COUNT(D419:E419)&lt;2,E419&lt;D419),"",IF(Настройки!$B$6=Настройки!$M$3,INT(E419)-INT(D419)+1,ROUNDUP(ROUND((E419-D419)*24,2)/24,0)))</f>
        <v/>
      </c>
      <c r="J419" s="14" t="n"/>
      <c r="K419" s="15">
        <f>IF(OR(I419="",J419=""),"",IF(F419="Отменена",0,ROUND(I419*J419,2)))</f>
        <v/>
      </c>
      <c r="L419" s="15">
        <f>IF(K419="","",ROUND(K419*Настройки!$B$5,2))</f>
        <v/>
      </c>
      <c r="M419" s="15">
        <f>IF(A419="","",SUMIFS(Начисления!$M$2:$M$1000,Начисления!$F$2:$F$1000,A419))</f>
        <v/>
      </c>
      <c r="N419" s="15">
        <f>IF(A419="","",SUM(K419:M419))</f>
        <v/>
      </c>
      <c r="O419" s="14" t="n"/>
      <c r="P419" s="15">
        <f>IF(A419="","",N419-O419)</f>
        <v/>
      </c>
      <c r="Q419" s="10" t="n"/>
      <c r="R419" s="10" t="n"/>
      <c r="S419" s="16">
        <f>IF(ISNUMBER(D419),D419+TIME(3,0,0),"")</f>
        <v/>
      </c>
      <c r="T419" s="10" t="n"/>
      <c r="U419" s="17">
        <f>IF(OR(B419="",COUNT(D419:E419)&lt;2,E419&lt;D419,F419="Отменена"),0,MAX(0,MIN(E419,Сводка!$B$4)-MAX(D419,Сводка!$B$2)))</f>
        <v/>
      </c>
    </row>
    <row r="420">
      <c r="A420" s="9" t="n"/>
      <c r="B420" s="10" t="n"/>
      <c r="C420" s="10" t="n"/>
      <c r="D420" s="11" t="n"/>
      <c r="E420" s="11" t="n"/>
      <c r="F420" s="10" t="n"/>
      <c r="G420" s="12">
        <f>IF(B420="","",IF(OR(COUNT(D420:E420)&lt;2,E420&lt;D420),"Проверьте даты",IF(OR(F420="Отменена",F420="Возвращена"),"",IF(SUMPRODUCT(($B$2:$B$500=B420)*($D$2:$D$500&lt;=E420)*($E$2:$E$500&gt;=D420)*($F$2:$F$500&lt;&gt;"Отменена")*($F$2:$F$500&lt;&gt;"Возвращена"))&gt;1,"Пересечение","ОК"))))</f>
        <v/>
      </c>
      <c r="H420" s="12">
        <f>IF(OR(B420="",D420=""),"",IF(AND(OR(F420="Выдана",F420="Возвращена"),SUMPRODUCT(($B$2:$B$500=B420)*($D$2:$D$500=D420)*(($F$2:$F$500="Выдана")+($F$2:$F$500="Возвращена")))&gt;1),"Дубль",""))</f>
        <v/>
      </c>
      <c r="I420" s="13">
        <f>IF(OR(B420="",COUNT(D420:E420)&lt;2,E420&lt;D420),"",IF(Настройки!$B$6=Настройки!$M$3,INT(E420)-INT(D420)+1,ROUNDUP(ROUND((E420-D420)*24,2)/24,0)))</f>
        <v/>
      </c>
      <c r="J420" s="14" t="n"/>
      <c r="K420" s="15">
        <f>IF(OR(I420="",J420=""),"",IF(F420="Отменена",0,ROUND(I420*J420,2)))</f>
        <v/>
      </c>
      <c r="L420" s="15">
        <f>IF(K420="","",ROUND(K420*Настройки!$B$5,2))</f>
        <v/>
      </c>
      <c r="M420" s="15">
        <f>IF(A420="","",SUMIFS(Начисления!$M$2:$M$1000,Начисления!$F$2:$F$1000,A420))</f>
        <v/>
      </c>
      <c r="N420" s="15">
        <f>IF(A420="","",SUM(K420:M420))</f>
        <v/>
      </c>
      <c r="O420" s="14" t="n"/>
      <c r="P420" s="15">
        <f>IF(A420="","",N420-O420)</f>
        <v/>
      </c>
      <c r="Q420" s="10" t="n"/>
      <c r="R420" s="10" t="n"/>
      <c r="S420" s="16">
        <f>IF(ISNUMBER(D420),D420+TIME(3,0,0),"")</f>
        <v/>
      </c>
      <c r="T420" s="10" t="n"/>
      <c r="U420" s="17">
        <f>IF(OR(B420="",COUNT(D420:E420)&lt;2,E420&lt;D420,F420="Отменена"),0,MAX(0,MIN(E420,Сводка!$B$4)-MAX(D420,Сводка!$B$2)))</f>
        <v/>
      </c>
    </row>
    <row r="421">
      <c r="A421" s="9" t="n"/>
      <c r="B421" s="10" t="n"/>
      <c r="C421" s="10" t="n"/>
      <c r="D421" s="11" t="n"/>
      <c r="E421" s="11" t="n"/>
      <c r="F421" s="10" t="n"/>
      <c r="G421" s="12">
        <f>IF(B421="","",IF(OR(COUNT(D421:E421)&lt;2,E421&lt;D421),"Проверьте даты",IF(OR(F421="Отменена",F421="Возвращена"),"",IF(SUMPRODUCT(($B$2:$B$500=B421)*($D$2:$D$500&lt;=E421)*($E$2:$E$500&gt;=D421)*($F$2:$F$500&lt;&gt;"Отменена")*($F$2:$F$500&lt;&gt;"Возвращена"))&gt;1,"Пересечение","ОК"))))</f>
        <v/>
      </c>
      <c r="H421" s="12">
        <f>IF(OR(B421="",D421=""),"",IF(AND(OR(F421="Выдана",F421="Возвращена"),SUMPRODUCT(($B$2:$B$500=B421)*($D$2:$D$500=D421)*(($F$2:$F$500="Выдана")+($F$2:$F$500="Возвращена")))&gt;1),"Дубль",""))</f>
        <v/>
      </c>
      <c r="I421" s="13">
        <f>IF(OR(B421="",COUNT(D421:E421)&lt;2,E421&lt;D421),"",IF(Настройки!$B$6=Настройки!$M$3,INT(E421)-INT(D421)+1,ROUNDUP(ROUND((E421-D421)*24,2)/24,0)))</f>
        <v/>
      </c>
      <c r="J421" s="14" t="n"/>
      <c r="K421" s="15">
        <f>IF(OR(I421="",J421=""),"",IF(F421="Отменена",0,ROUND(I421*J421,2)))</f>
        <v/>
      </c>
      <c r="L421" s="15">
        <f>IF(K421="","",ROUND(K421*Настройки!$B$5,2))</f>
        <v/>
      </c>
      <c r="M421" s="15">
        <f>IF(A421="","",SUMIFS(Начисления!$M$2:$M$1000,Начисления!$F$2:$F$1000,A421))</f>
        <v/>
      </c>
      <c r="N421" s="15">
        <f>IF(A421="","",SUM(K421:M421))</f>
        <v/>
      </c>
      <c r="O421" s="14" t="n"/>
      <c r="P421" s="15">
        <f>IF(A421="","",N421-O421)</f>
        <v/>
      </c>
      <c r="Q421" s="10" t="n"/>
      <c r="R421" s="10" t="n"/>
      <c r="S421" s="16">
        <f>IF(ISNUMBER(D421),D421+TIME(3,0,0),"")</f>
        <v/>
      </c>
      <c r="T421" s="10" t="n"/>
      <c r="U421" s="17">
        <f>IF(OR(B421="",COUNT(D421:E421)&lt;2,E421&lt;D421,F421="Отменена"),0,MAX(0,MIN(E421,Сводка!$B$4)-MAX(D421,Сводка!$B$2)))</f>
        <v/>
      </c>
    </row>
    <row r="422">
      <c r="A422" s="9" t="n"/>
      <c r="B422" s="10" t="n"/>
      <c r="C422" s="10" t="n"/>
      <c r="D422" s="11" t="n"/>
      <c r="E422" s="11" t="n"/>
      <c r="F422" s="10" t="n"/>
      <c r="G422" s="12">
        <f>IF(B422="","",IF(OR(COUNT(D422:E422)&lt;2,E422&lt;D422),"Проверьте даты",IF(OR(F422="Отменена",F422="Возвращена"),"",IF(SUMPRODUCT(($B$2:$B$500=B422)*($D$2:$D$500&lt;=E422)*($E$2:$E$500&gt;=D422)*($F$2:$F$500&lt;&gt;"Отменена")*($F$2:$F$500&lt;&gt;"Возвращена"))&gt;1,"Пересечение","ОК"))))</f>
        <v/>
      </c>
      <c r="H422" s="12">
        <f>IF(OR(B422="",D422=""),"",IF(AND(OR(F422="Выдана",F422="Возвращена"),SUMPRODUCT(($B$2:$B$500=B422)*($D$2:$D$500=D422)*(($F$2:$F$500="Выдана")+($F$2:$F$500="Возвращена")))&gt;1),"Дубль",""))</f>
        <v/>
      </c>
      <c r="I422" s="13">
        <f>IF(OR(B422="",COUNT(D422:E422)&lt;2,E422&lt;D422),"",IF(Настройки!$B$6=Настройки!$M$3,INT(E422)-INT(D422)+1,ROUNDUP(ROUND((E422-D422)*24,2)/24,0)))</f>
        <v/>
      </c>
      <c r="J422" s="14" t="n"/>
      <c r="K422" s="15">
        <f>IF(OR(I422="",J422=""),"",IF(F422="Отменена",0,ROUND(I422*J422,2)))</f>
        <v/>
      </c>
      <c r="L422" s="15">
        <f>IF(K422="","",ROUND(K422*Настройки!$B$5,2))</f>
        <v/>
      </c>
      <c r="M422" s="15">
        <f>IF(A422="","",SUMIFS(Начисления!$M$2:$M$1000,Начисления!$F$2:$F$1000,A422))</f>
        <v/>
      </c>
      <c r="N422" s="15">
        <f>IF(A422="","",SUM(K422:M422))</f>
        <v/>
      </c>
      <c r="O422" s="14" t="n"/>
      <c r="P422" s="15">
        <f>IF(A422="","",N422-O422)</f>
        <v/>
      </c>
      <c r="Q422" s="10" t="n"/>
      <c r="R422" s="10" t="n"/>
      <c r="S422" s="16">
        <f>IF(ISNUMBER(D422),D422+TIME(3,0,0),"")</f>
        <v/>
      </c>
      <c r="T422" s="10" t="n"/>
      <c r="U422" s="17">
        <f>IF(OR(B422="",COUNT(D422:E422)&lt;2,E422&lt;D422,F422="Отменена"),0,MAX(0,MIN(E422,Сводка!$B$4)-MAX(D422,Сводка!$B$2)))</f>
        <v/>
      </c>
    </row>
    <row r="423">
      <c r="A423" s="9" t="n"/>
      <c r="B423" s="10" t="n"/>
      <c r="C423" s="10" t="n"/>
      <c r="D423" s="11" t="n"/>
      <c r="E423" s="11" t="n"/>
      <c r="F423" s="10" t="n"/>
      <c r="G423" s="12">
        <f>IF(B423="","",IF(OR(COUNT(D423:E423)&lt;2,E423&lt;D423),"Проверьте даты",IF(OR(F423="Отменена",F423="Возвращена"),"",IF(SUMPRODUCT(($B$2:$B$500=B423)*($D$2:$D$500&lt;=E423)*($E$2:$E$500&gt;=D423)*($F$2:$F$500&lt;&gt;"Отменена")*($F$2:$F$500&lt;&gt;"Возвращена"))&gt;1,"Пересечение","ОК"))))</f>
        <v/>
      </c>
      <c r="H423" s="12">
        <f>IF(OR(B423="",D423=""),"",IF(AND(OR(F423="Выдана",F423="Возвращена"),SUMPRODUCT(($B$2:$B$500=B423)*($D$2:$D$500=D423)*(($F$2:$F$500="Выдана")+($F$2:$F$500="Возвращена")))&gt;1),"Дубль",""))</f>
        <v/>
      </c>
      <c r="I423" s="13">
        <f>IF(OR(B423="",COUNT(D423:E423)&lt;2,E423&lt;D423),"",IF(Настройки!$B$6=Настройки!$M$3,INT(E423)-INT(D423)+1,ROUNDUP(ROUND((E423-D423)*24,2)/24,0)))</f>
        <v/>
      </c>
      <c r="J423" s="14" t="n"/>
      <c r="K423" s="15">
        <f>IF(OR(I423="",J423=""),"",IF(F423="Отменена",0,ROUND(I423*J423,2)))</f>
        <v/>
      </c>
      <c r="L423" s="15">
        <f>IF(K423="","",ROUND(K423*Настройки!$B$5,2))</f>
        <v/>
      </c>
      <c r="M423" s="15">
        <f>IF(A423="","",SUMIFS(Начисления!$M$2:$M$1000,Начисления!$F$2:$F$1000,A423))</f>
        <v/>
      </c>
      <c r="N423" s="15">
        <f>IF(A423="","",SUM(K423:M423))</f>
        <v/>
      </c>
      <c r="O423" s="14" t="n"/>
      <c r="P423" s="15">
        <f>IF(A423="","",N423-O423)</f>
        <v/>
      </c>
      <c r="Q423" s="10" t="n"/>
      <c r="R423" s="10" t="n"/>
      <c r="S423" s="16">
        <f>IF(ISNUMBER(D423),D423+TIME(3,0,0),"")</f>
        <v/>
      </c>
      <c r="T423" s="10" t="n"/>
      <c r="U423" s="17">
        <f>IF(OR(B423="",COUNT(D423:E423)&lt;2,E423&lt;D423,F423="Отменена"),0,MAX(0,MIN(E423,Сводка!$B$4)-MAX(D423,Сводка!$B$2)))</f>
        <v/>
      </c>
    </row>
    <row r="424">
      <c r="A424" s="9" t="n"/>
      <c r="B424" s="10" t="n"/>
      <c r="C424" s="10" t="n"/>
      <c r="D424" s="11" t="n"/>
      <c r="E424" s="11" t="n"/>
      <c r="F424" s="10" t="n"/>
      <c r="G424" s="12">
        <f>IF(B424="","",IF(OR(COUNT(D424:E424)&lt;2,E424&lt;D424),"Проверьте даты",IF(OR(F424="Отменена",F424="Возвращена"),"",IF(SUMPRODUCT(($B$2:$B$500=B424)*($D$2:$D$500&lt;=E424)*($E$2:$E$500&gt;=D424)*($F$2:$F$500&lt;&gt;"Отменена")*($F$2:$F$500&lt;&gt;"Возвращена"))&gt;1,"Пересечение","ОК"))))</f>
        <v/>
      </c>
      <c r="H424" s="12">
        <f>IF(OR(B424="",D424=""),"",IF(AND(OR(F424="Выдана",F424="Возвращена"),SUMPRODUCT(($B$2:$B$500=B424)*($D$2:$D$500=D424)*(($F$2:$F$500="Выдана")+($F$2:$F$500="Возвращена")))&gt;1),"Дубль",""))</f>
        <v/>
      </c>
      <c r="I424" s="13">
        <f>IF(OR(B424="",COUNT(D424:E424)&lt;2,E424&lt;D424),"",IF(Настройки!$B$6=Настройки!$M$3,INT(E424)-INT(D424)+1,ROUNDUP(ROUND((E424-D424)*24,2)/24,0)))</f>
        <v/>
      </c>
      <c r="J424" s="14" t="n"/>
      <c r="K424" s="15">
        <f>IF(OR(I424="",J424=""),"",IF(F424="Отменена",0,ROUND(I424*J424,2)))</f>
        <v/>
      </c>
      <c r="L424" s="15">
        <f>IF(K424="","",ROUND(K424*Настройки!$B$5,2))</f>
        <v/>
      </c>
      <c r="M424" s="15">
        <f>IF(A424="","",SUMIFS(Начисления!$M$2:$M$1000,Начисления!$F$2:$F$1000,A424))</f>
        <v/>
      </c>
      <c r="N424" s="15">
        <f>IF(A424="","",SUM(K424:M424))</f>
        <v/>
      </c>
      <c r="O424" s="14" t="n"/>
      <c r="P424" s="15">
        <f>IF(A424="","",N424-O424)</f>
        <v/>
      </c>
      <c r="Q424" s="10" t="n"/>
      <c r="R424" s="10" t="n"/>
      <c r="S424" s="16">
        <f>IF(ISNUMBER(D424),D424+TIME(3,0,0),"")</f>
        <v/>
      </c>
      <c r="T424" s="10" t="n"/>
      <c r="U424" s="17">
        <f>IF(OR(B424="",COUNT(D424:E424)&lt;2,E424&lt;D424,F424="Отменена"),0,MAX(0,MIN(E424,Сводка!$B$4)-MAX(D424,Сводка!$B$2)))</f>
        <v/>
      </c>
    </row>
    <row r="425">
      <c r="A425" s="9" t="n"/>
      <c r="B425" s="10" t="n"/>
      <c r="C425" s="10" t="n"/>
      <c r="D425" s="11" t="n"/>
      <c r="E425" s="11" t="n"/>
      <c r="F425" s="10" t="n"/>
      <c r="G425" s="12">
        <f>IF(B425="","",IF(OR(COUNT(D425:E425)&lt;2,E425&lt;D425),"Проверьте даты",IF(OR(F425="Отменена",F425="Возвращена"),"",IF(SUMPRODUCT(($B$2:$B$500=B425)*($D$2:$D$500&lt;=E425)*($E$2:$E$500&gt;=D425)*($F$2:$F$500&lt;&gt;"Отменена")*($F$2:$F$500&lt;&gt;"Возвращена"))&gt;1,"Пересечение","ОК"))))</f>
        <v/>
      </c>
      <c r="H425" s="12">
        <f>IF(OR(B425="",D425=""),"",IF(AND(OR(F425="Выдана",F425="Возвращена"),SUMPRODUCT(($B$2:$B$500=B425)*($D$2:$D$500=D425)*(($F$2:$F$500="Выдана")+($F$2:$F$500="Возвращена")))&gt;1),"Дубль",""))</f>
        <v/>
      </c>
      <c r="I425" s="13">
        <f>IF(OR(B425="",COUNT(D425:E425)&lt;2,E425&lt;D425),"",IF(Настройки!$B$6=Настройки!$M$3,INT(E425)-INT(D425)+1,ROUNDUP(ROUND((E425-D425)*24,2)/24,0)))</f>
        <v/>
      </c>
      <c r="J425" s="14" t="n"/>
      <c r="K425" s="15">
        <f>IF(OR(I425="",J425=""),"",IF(F425="Отменена",0,ROUND(I425*J425,2)))</f>
        <v/>
      </c>
      <c r="L425" s="15">
        <f>IF(K425="","",ROUND(K425*Настройки!$B$5,2))</f>
        <v/>
      </c>
      <c r="M425" s="15">
        <f>IF(A425="","",SUMIFS(Начисления!$M$2:$M$1000,Начисления!$F$2:$F$1000,A425))</f>
        <v/>
      </c>
      <c r="N425" s="15">
        <f>IF(A425="","",SUM(K425:M425))</f>
        <v/>
      </c>
      <c r="O425" s="14" t="n"/>
      <c r="P425" s="15">
        <f>IF(A425="","",N425-O425)</f>
        <v/>
      </c>
      <c r="Q425" s="10" t="n"/>
      <c r="R425" s="10" t="n"/>
      <c r="S425" s="16">
        <f>IF(ISNUMBER(D425),D425+TIME(3,0,0),"")</f>
        <v/>
      </c>
      <c r="T425" s="10" t="n"/>
      <c r="U425" s="17">
        <f>IF(OR(B425="",COUNT(D425:E425)&lt;2,E425&lt;D425,F425="Отменена"),0,MAX(0,MIN(E425,Сводка!$B$4)-MAX(D425,Сводка!$B$2)))</f>
        <v/>
      </c>
    </row>
    <row r="426">
      <c r="A426" s="9" t="n"/>
      <c r="B426" s="10" t="n"/>
      <c r="C426" s="10" t="n"/>
      <c r="D426" s="11" t="n"/>
      <c r="E426" s="11" t="n"/>
      <c r="F426" s="10" t="n"/>
      <c r="G426" s="12">
        <f>IF(B426="","",IF(OR(COUNT(D426:E426)&lt;2,E426&lt;D426),"Проверьте даты",IF(OR(F426="Отменена",F426="Возвращена"),"",IF(SUMPRODUCT(($B$2:$B$500=B426)*($D$2:$D$500&lt;=E426)*($E$2:$E$500&gt;=D426)*($F$2:$F$500&lt;&gt;"Отменена")*($F$2:$F$500&lt;&gt;"Возвращена"))&gt;1,"Пересечение","ОК"))))</f>
        <v/>
      </c>
      <c r="H426" s="12">
        <f>IF(OR(B426="",D426=""),"",IF(AND(OR(F426="Выдана",F426="Возвращена"),SUMPRODUCT(($B$2:$B$500=B426)*($D$2:$D$500=D426)*(($F$2:$F$500="Выдана")+($F$2:$F$500="Возвращена")))&gt;1),"Дубль",""))</f>
        <v/>
      </c>
      <c r="I426" s="13">
        <f>IF(OR(B426="",COUNT(D426:E426)&lt;2,E426&lt;D426),"",IF(Настройки!$B$6=Настройки!$M$3,INT(E426)-INT(D426)+1,ROUNDUP(ROUND((E426-D426)*24,2)/24,0)))</f>
        <v/>
      </c>
      <c r="J426" s="14" t="n"/>
      <c r="K426" s="15">
        <f>IF(OR(I426="",J426=""),"",IF(F426="Отменена",0,ROUND(I426*J426,2)))</f>
        <v/>
      </c>
      <c r="L426" s="15">
        <f>IF(K426="","",ROUND(K426*Настройки!$B$5,2))</f>
        <v/>
      </c>
      <c r="M426" s="15">
        <f>IF(A426="","",SUMIFS(Начисления!$M$2:$M$1000,Начисления!$F$2:$F$1000,A426))</f>
        <v/>
      </c>
      <c r="N426" s="15">
        <f>IF(A426="","",SUM(K426:M426))</f>
        <v/>
      </c>
      <c r="O426" s="14" t="n"/>
      <c r="P426" s="15">
        <f>IF(A426="","",N426-O426)</f>
        <v/>
      </c>
      <c r="Q426" s="10" t="n"/>
      <c r="R426" s="10" t="n"/>
      <c r="S426" s="16">
        <f>IF(ISNUMBER(D426),D426+TIME(3,0,0),"")</f>
        <v/>
      </c>
      <c r="T426" s="10" t="n"/>
      <c r="U426" s="17">
        <f>IF(OR(B426="",COUNT(D426:E426)&lt;2,E426&lt;D426,F426="Отменена"),0,MAX(0,MIN(E426,Сводка!$B$4)-MAX(D426,Сводка!$B$2)))</f>
        <v/>
      </c>
    </row>
    <row r="427">
      <c r="A427" s="9" t="n"/>
      <c r="B427" s="10" t="n"/>
      <c r="C427" s="10" t="n"/>
      <c r="D427" s="11" t="n"/>
      <c r="E427" s="11" t="n"/>
      <c r="F427" s="10" t="n"/>
      <c r="G427" s="12">
        <f>IF(B427="","",IF(OR(COUNT(D427:E427)&lt;2,E427&lt;D427),"Проверьте даты",IF(OR(F427="Отменена",F427="Возвращена"),"",IF(SUMPRODUCT(($B$2:$B$500=B427)*($D$2:$D$500&lt;=E427)*($E$2:$E$500&gt;=D427)*($F$2:$F$500&lt;&gt;"Отменена")*($F$2:$F$500&lt;&gt;"Возвращена"))&gt;1,"Пересечение","ОК"))))</f>
        <v/>
      </c>
      <c r="H427" s="12">
        <f>IF(OR(B427="",D427=""),"",IF(AND(OR(F427="Выдана",F427="Возвращена"),SUMPRODUCT(($B$2:$B$500=B427)*($D$2:$D$500=D427)*(($F$2:$F$500="Выдана")+($F$2:$F$500="Возвращена")))&gt;1),"Дубль",""))</f>
        <v/>
      </c>
      <c r="I427" s="13">
        <f>IF(OR(B427="",COUNT(D427:E427)&lt;2,E427&lt;D427),"",IF(Настройки!$B$6=Настройки!$M$3,INT(E427)-INT(D427)+1,ROUNDUP(ROUND((E427-D427)*24,2)/24,0)))</f>
        <v/>
      </c>
      <c r="J427" s="14" t="n"/>
      <c r="K427" s="15">
        <f>IF(OR(I427="",J427=""),"",IF(F427="Отменена",0,ROUND(I427*J427,2)))</f>
        <v/>
      </c>
      <c r="L427" s="15">
        <f>IF(K427="","",ROUND(K427*Настройки!$B$5,2))</f>
        <v/>
      </c>
      <c r="M427" s="15">
        <f>IF(A427="","",SUMIFS(Начисления!$M$2:$M$1000,Начисления!$F$2:$F$1000,A427))</f>
        <v/>
      </c>
      <c r="N427" s="15">
        <f>IF(A427="","",SUM(K427:M427))</f>
        <v/>
      </c>
      <c r="O427" s="14" t="n"/>
      <c r="P427" s="15">
        <f>IF(A427="","",N427-O427)</f>
        <v/>
      </c>
      <c r="Q427" s="10" t="n"/>
      <c r="R427" s="10" t="n"/>
      <c r="S427" s="16">
        <f>IF(ISNUMBER(D427),D427+TIME(3,0,0),"")</f>
        <v/>
      </c>
      <c r="T427" s="10" t="n"/>
      <c r="U427" s="17">
        <f>IF(OR(B427="",COUNT(D427:E427)&lt;2,E427&lt;D427,F427="Отменена"),0,MAX(0,MIN(E427,Сводка!$B$4)-MAX(D427,Сводка!$B$2)))</f>
        <v/>
      </c>
    </row>
    <row r="428">
      <c r="A428" s="9" t="n"/>
      <c r="B428" s="10" t="n"/>
      <c r="C428" s="10" t="n"/>
      <c r="D428" s="11" t="n"/>
      <c r="E428" s="11" t="n"/>
      <c r="F428" s="10" t="n"/>
      <c r="G428" s="12">
        <f>IF(B428="","",IF(OR(COUNT(D428:E428)&lt;2,E428&lt;D428),"Проверьте даты",IF(OR(F428="Отменена",F428="Возвращена"),"",IF(SUMPRODUCT(($B$2:$B$500=B428)*($D$2:$D$500&lt;=E428)*($E$2:$E$500&gt;=D428)*($F$2:$F$500&lt;&gt;"Отменена")*($F$2:$F$500&lt;&gt;"Возвращена"))&gt;1,"Пересечение","ОК"))))</f>
        <v/>
      </c>
      <c r="H428" s="12">
        <f>IF(OR(B428="",D428=""),"",IF(AND(OR(F428="Выдана",F428="Возвращена"),SUMPRODUCT(($B$2:$B$500=B428)*($D$2:$D$500=D428)*(($F$2:$F$500="Выдана")+($F$2:$F$500="Возвращена")))&gt;1),"Дубль",""))</f>
        <v/>
      </c>
      <c r="I428" s="13">
        <f>IF(OR(B428="",COUNT(D428:E428)&lt;2,E428&lt;D428),"",IF(Настройки!$B$6=Настройки!$M$3,INT(E428)-INT(D428)+1,ROUNDUP(ROUND((E428-D428)*24,2)/24,0)))</f>
        <v/>
      </c>
      <c r="J428" s="14" t="n"/>
      <c r="K428" s="15">
        <f>IF(OR(I428="",J428=""),"",IF(F428="Отменена",0,ROUND(I428*J428,2)))</f>
        <v/>
      </c>
      <c r="L428" s="15">
        <f>IF(K428="","",ROUND(K428*Настройки!$B$5,2))</f>
        <v/>
      </c>
      <c r="M428" s="15">
        <f>IF(A428="","",SUMIFS(Начисления!$M$2:$M$1000,Начисления!$F$2:$F$1000,A428))</f>
        <v/>
      </c>
      <c r="N428" s="15">
        <f>IF(A428="","",SUM(K428:M428))</f>
        <v/>
      </c>
      <c r="O428" s="14" t="n"/>
      <c r="P428" s="15">
        <f>IF(A428="","",N428-O428)</f>
        <v/>
      </c>
      <c r="Q428" s="10" t="n"/>
      <c r="R428" s="10" t="n"/>
      <c r="S428" s="16">
        <f>IF(ISNUMBER(D428),D428+TIME(3,0,0),"")</f>
        <v/>
      </c>
      <c r="T428" s="10" t="n"/>
      <c r="U428" s="17">
        <f>IF(OR(B428="",COUNT(D428:E428)&lt;2,E428&lt;D428,F428="Отменена"),0,MAX(0,MIN(E428,Сводка!$B$4)-MAX(D428,Сводка!$B$2)))</f>
        <v/>
      </c>
    </row>
    <row r="429">
      <c r="A429" s="9" t="n"/>
      <c r="B429" s="10" t="n"/>
      <c r="C429" s="10" t="n"/>
      <c r="D429" s="11" t="n"/>
      <c r="E429" s="11" t="n"/>
      <c r="F429" s="10" t="n"/>
      <c r="G429" s="12">
        <f>IF(B429="","",IF(OR(COUNT(D429:E429)&lt;2,E429&lt;D429),"Проверьте даты",IF(OR(F429="Отменена",F429="Возвращена"),"",IF(SUMPRODUCT(($B$2:$B$500=B429)*($D$2:$D$500&lt;=E429)*($E$2:$E$500&gt;=D429)*($F$2:$F$500&lt;&gt;"Отменена")*($F$2:$F$500&lt;&gt;"Возвращена"))&gt;1,"Пересечение","ОК"))))</f>
        <v/>
      </c>
      <c r="H429" s="12">
        <f>IF(OR(B429="",D429=""),"",IF(AND(OR(F429="Выдана",F429="Возвращена"),SUMPRODUCT(($B$2:$B$500=B429)*($D$2:$D$500=D429)*(($F$2:$F$500="Выдана")+($F$2:$F$500="Возвращена")))&gt;1),"Дубль",""))</f>
        <v/>
      </c>
      <c r="I429" s="13">
        <f>IF(OR(B429="",COUNT(D429:E429)&lt;2,E429&lt;D429),"",IF(Настройки!$B$6=Настройки!$M$3,INT(E429)-INT(D429)+1,ROUNDUP(ROUND((E429-D429)*24,2)/24,0)))</f>
        <v/>
      </c>
      <c r="J429" s="14" t="n"/>
      <c r="K429" s="15">
        <f>IF(OR(I429="",J429=""),"",IF(F429="Отменена",0,ROUND(I429*J429,2)))</f>
        <v/>
      </c>
      <c r="L429" s="15">
        <f>IF(K429="","",ROUND(K429*Настройки!$B$5,2))</f>
        <v/>
      </c>
      <c r="M429" s="15">
        <f>IF(A429="","",SUMIFS(Начисления!$M$2:$M$1000,Начисления!$F$2:$F$1000,A429))</f>
        <v/>
      </c>
      <c r="N429" s="15">
        <f>IF(A429="","",SUM(K429:M429))</f>
        <v/>
      </c>
      <c r="O429" s="14" t="n"/>
      <c r="P429" s="15">
        <f>IF(A429="","",N429-O429)</f>
        <v/>
      </c>
      <c r="Q429" s="10" t="n"/>
      <c r="R429" s="10" t="n"/>
      <c r="S429" s="16">
        <f>IF(ISNUMBER(D429),D429+TIME(3,0,0),"")</f>
        <v/>
      </c>
      <c r="T429" s="10" t="n"/>
      <c r="U429" s="17">
        <f>IF(OR(B429="",COUNT(D429:E429)&lt;2,E429&lt;D429,F429="Отменена"),0,MAX(0,MIN(E429,Сводка!$B$4)-MAX(D429,Сводка!$B$2)))</f>
        <v/>
      </c>
    </row>
    <row r="430">
      <c r="A430" s="9" t="n"/>
      <c r="B430" s="10" t="n"/>
      <c r="C430" s="10" t="n"/>
      <c r="D430" s="11" t="n"/>
      <c r="E430" s="11" t="n"/>
      <c r="F430" s="10" t="n"/>
      <c r="G430" s="12">
        <f>IF(B430="","",IF(OR(COUNT(D430:E430)&lt;2,E430&lt;D430),"Проверьте даты",IF(OR(F430="Отменена",F430="Возвращена"),"",IF(SUMPRODUCT(($B$2:$B$500=B430)*($D$2:$D$500&lt;=E430)*($E$2:$E$500&gt;=D430)*($F$2:$F$500&lt;&gt;"Отменена")*($F$2:$F$500&lt;&gt;"Возвращена"))&gt;1,"Пересечение","ОК"))))</f>
        <v/>
      </c>
      <c r="H430" s="12">
        <f>IF(OR(B430="",D430=""),"",IF(AND(OR(F430="Выдана",F430="Возвращена"),SUMPRODUCT(($B$2:$B$500=B430)*($D$2:$D$500=D430)*(($F$2:$F$500="Выдана")+($F$2:$F$500="Возвращена")))&gt;1),"Дубль",""))</f>
        <v/>
      </c>
      <c r="I430" s="13">
        <f>IF(OR(B430="",COUNT(D430:E430)&lt;2,E430&lt;D430),"",IF(Настройки!$B$6=Настройки!$M$3,INT(E430)-INT(D430)+1,ROUNDUP(ROUND((E430-D430)*24,2)/24,0)))</f>
        <v/>
      </c>
      <c r="J430" s="14" t="n"/>
      <c r="K430" s="15">
        <f>IF(OR(I430="",J430=""),"",IF(F430="Отменена",0,ROUND(I430*J430,2)))</f>
        <v/>
      </c>
      <c r="L430" s="15">
        <f>IF(K430="","",ROUND(K430*Настройки!$B$5,2))</f>
        <v/>
      </c>
      <c r="M430" s="15">
        <f>IF(A430="","",SUMIFS(Начисления!$M$2:$M$1000,Начисления!$F$2:$F$1000,A430))</f>
        <v/>
      </c>
      <c r="N430" s="15">
        <f>IF(A430="","",SUM(K430:M430))</f>
        <v/>
      </c>
      <c r="O430" s="14" t="n"/>
      <c r="P430" s="15">
        <f>IF(A430="","",N430-O430)</f>
        <v/>
      </c>
      <c r="Q430" s="10" t="n"/>
      <c r="R430" s="10" t="n"/>
      <c r="S430" s="16">
        <f>IF(ISNUMBER(D430),D430+TIME(3,0,0),"")</f>
        <v/>
      </c>
      <c r="T430" s="10" t="n"/>
      <c r="U430" s="17">
        <f>IF(OR(B430="",COUNT(D430:E430)&lt;2,E430&lt;D430,F430="Отменена"),0,MAX(0,MIN(E430,Сводка!$B$4)-MAX(D430,Сводка!$B$2)))</f>
        <v/>
      </c>
    </row>
    <row r="431">
      <c r="A431" s="9" t="n"/>
      <c r="B431" s="10" t="n"/>
      <c r="C431" s="10" t="n"/>
      <c r="D431" s="11" t="n"/>
      <c r="E431" s="11" t="n"/>
      <c r="F431" s="10" t="n"/>
      <c r="G431" s="12">
        <f>IF(B431="","",IF(OR(COUNT(D431:E431)&lt;2,E431&lt;D431),"Проверьте даты",IF(OR(F431="Отменена",F431="Возвращена"),"",IF(SUMPRODUCT(($B$2:$B$500=B431)*($D$2:$D$500&lt;=E431)*($E$2:$E$500&gt;=D431)*($F$2:$F$500&lt;&gt;"Отменена")*($F$2:$F$500&lt;&gt;"Возвращена"))&gt;1,"Пересечение","ОК"))))</f>
        <v/>
      </c>
      <c r="H431" s="12">
        <f>IF(OR(B431="",D431=""),"",IF(AND(OR(F431="Выдана",F431="Возвращена"),SUMPRODUCT(($B$2:$B$500=B431)*($D$2:$D$500=D431)*(($F$2:$F$500="Выдана")+($F$2:$F$500="Возвращена")))&gt;1),"Дубль",""))</f>
        <v/>
      </c>
      <c r="I431" s="13">
        <f>IF(OR(B431="",COUNT(D431:E431)&lt;2,E431&lt;D431),"",IF(Настройки!$B$6=Настройки!$M$3,INT(E431)-INT(D431)+1,ROUNDUP(ROUND((E431-D431)*24,2)/24,0)))</f>
        <v/>
      </c>
      <c r="J431" s="14" t="n"/>
      <c r="K431" s="15">
        <f>IF(OR(I431="",J431=""),"",IF(F431="Отменена",0,ROUND(I431*J431,2)))</f>
        <v/>
      </c>
      <c r="L431" s="15">
        <f>IF(K431="","",ROUND(K431*Настройки!$B$5,2))</f>
        <v/>
      </c>
      <c r="M431" s="15">
        <f>IF(A431="","",SUMIFS(Начисления!$M$2:$M$1000,Начисления!$F$2:$F$1000,A431))</f>
        <v/>
      </c>
      <c r="N431" s="15">
        <f>IF(A431="","",SUM(K431:M431))</f>
        <v/>
      </c>
      <c r="O431" s="14" t="n"/>
      <c r="P431" s="15">
        <f>IF(A431="","",N431-O431)</f>
        <v/>
      </c>
      <c r="Q431" s="10" t="n"/>
      <c r="R431" s="10" t="n"/>
      <c r="S431" s="16">
        <f>IF(ISNUMBER(D431),D431+TIME(3,0,0),"")</f>
        <v/>
      </c>
      <c r="T431" s="10" t="n"/>
      <c r="U431" s="17">
        <f>IF(OR(B431="",COUNT(D431:E431)&lt;2,E431&lt;D431,F431="Отменена"),0,MAX(0,MIN(E431,Сводка!$B$4)-MAX(D431,Сводка!$B$2)))</f>
        <v/>
      </c>
    </row>
    <row r="432">
      <c r="A432" s="9" t="n"/>
      <c r="B432" s="10" t="n"/>
      <c r="C432" s="10" t="n"/>
      <c r="D432" s="11" t="n"/>
      <c r="E432" s="11" t="n"/>
      <c r="F432" s="10" t="n"/>
      <c r="G432" s="12">
        <f>IF(B432="","",IF(OR(COUNT(D432:E432)&lt;2,E432&lt;D432),"Проверьте даты",IF(OR(F432="Отменена",F432="Возвращена"),"",IF(SUMPRODUCT(($B$2:$B$500=B432)*($D$2:$D$500&lt;=E432)*($E$2:$E$500&gt;=D432)*($F$2:$F$500&lt;&gt;"Отменена")*($F$2:$F$500&lt;&gt;"Возвращена"))&gt;1,"Пересечение","ОК"))))</f>
        <v/>
      </c>
      <c r="H432" s="12">
        <f>IF(OR(B432="",D432=""),"",IF(AND(OR(F432="Выдана",F432="Возвращена"),SUMPRODUCT(($B$2:$B$500=B432)*($D$2:$D$500=D432)*(($F$2:$F$500="Выдана")+($F$2:$F$500="Возвращена")))&gt;1),"Дубль",""))</f>
        <v/>
      </c>
      <c r="I432" s="13">
        <f>IF(OR(B432="",COUNT(D432:E432)&lt;2,E432&lt;D432),"",IF(Настройки!$B$6=Настройки!$M$3,INT(E432)-INT(D432)+1,ROUNDUP(ROUND((E432-D432)*24,2)/24,0)))</f>
        <v/>
      </c>
      <c r="J432" s="14" t="n"/>
      <c r="K432" s="15">
        <f>IF(OR(I432="",J432=""),"",IF(F432="Отменена",0,ROUND(I432*J432,2)))</f>
        <v/>
      </c>
      <c r="L432" s="15">
        <f>IF(K432="","",ROUND(K432*Настройки!$B$5,2))</f>
        <v/>
      </c>
      <c r="M432" s="15">
        <f>IF(A432="","",SUMIFS(Начисления!$M$2:$M$1000,Начисления!$F$2:$F$1000,A432))</f>
        <v/>
      </c>
      <c r="N432" s="15">
        <f>IF(A432="","",SUM(K432:M432))</f>
        <v/>
      </c>
      <c r="O432" s="14" t="n"/>
      <c r="P432" s="15">
        <f>IF(A432="","",N432-O432)</f>
        <v/>
      </c>
      <c r="Q432" s="10" t="n"/>
      <c r="R432" s="10" t="n"/>
      <c r="S432" s="16">
        <f>IF(ISNUMBER(D432),D432+TIME(3,0,0),"")</f>
        <v/>
      </c>
      <c r="T432" s="10" t="n"/>
      <c r="U432" s="17">
        <f>IF(OR(B432="",COUNT(D432:E432)&lt;2,E432&lt;D432,F432="Отменена"),0,MAX(0,MIN(E432,Сводка!$B$4)-MAX(D432,Сводка!$B$2)))</f>
        <v/>
      </c>
    </row>
    <row r="433">
      <c r="A433" s="9" t="n"/>
      <c r="B433" s="10" t="n"/>
      <c r="C433" s="10" t="n"/>
      <c r="D433" s="11" t="n"/>
      <c r="E433" s="11" t="n"/>
      <c r="F433" s="10" t="n"/>
      <c r="G433" s="12">
        <f>IF(B433="","",IF(OR(COUNT(D433:E433)&lt;2,E433&lt;D433),"Проверьте даты",IF(OR(F433="Отменена",F433="Возвращена"),"",IF(SUMPRODUCT(($B$2:$B$500=B433)*($D$2:$D$500&lt;=E433)*($E$2:$E$500&gt;=D433)*($F$2:$F$500&lt;&gt;"Отменена")*($F$2:$F$500&lt;&gt;"Возвращена"))&gt;1,"Пересечение","ОК"))))</f>
        <v/>
      </c>
      <c r="H433" s="12">
        <f>IF(OR(B433="",D433=""),"",IF(AND(OR(F433="Выдана",F433="Возвращена"),SUMPRODUCT(($B$2:$B$500=B433)*($D$2:$D$500=D433)*(($F$2:$F$500="Выдана")+($F$2:$F$500="Возвращена")))&gt;1),"Дубль",""))</f>
        <v/>
      </c>
      <c r="I433" s="13">
        <f>IF(OR(B433="",COUNT(D433:E433)&lt;2,E433&lt;D433),"",IF(Настройки!$B$6=Настройки!$M$3,INT(E433)-INT(D433)+1,ROUNDUP(ROUND((E433-D433)*24,2)/24,0)))</f>
        <v/>
      </c>
      <c r="J433" s="14" t="n"/>
      <c r="K433" s="15">
        <f>IF(OR(I433="",J433=""),"",IF(F433="Отменена",0,ROUND(I433*J433,2)))</f>
        <v/>
      </c>
      <c r="L433" s="15">
        <f>IF(K433="","",ROUND(K433*Настройки!$B$5,2))</f>
        <v/>
      </c>
      <c r="M433" s="15">
        <f>IF(A433="","",SUMIFS(Начисления!$M$2:$M$1000,Начисления!$F$2:$F$1000,A433))</f>
        <v/>
      </c>
      <c r="N433" s="15">
        <f>IF(A433="","",SUM(K433:M433))</f>
        <v/>
      </c>
      <c r="O433" s="14" t="n"/>
      <c r="P433" s="15">
        <f>IF(A433="","",N433-O433)</f>
        <v/>
      </c>
      <c r="Q433" s="10" t="n"/>
      <c r="R433" s="10" t="n"/>
      <c r="S433" s="16">
        <f>IF(ISNUMBER(D433),D433+TIME(3,0,0),"")</f>
        <v/>
      </c>
      <c r="T433" s="10" t="n"/>
      <c r="U433" s="17">
        <f>IF(OR(B433="",COUNT(D433:E433)&lt;2,E433&lt;D433,F433="Отменена"),0,MAX(0,MIN(E433,Сводка!$B$4)-MAX(D433,Сводка!$B$2)))</f>
        <v/>
      </c>
    </row>
    <row r="434">
      <c r="A434" s="9" t="n"/>
      <c r="B434" s="10" t="n"/>
      <c r="C434" s="10" t="n"/>
      <c r="D434" s="11" t="n"/>
      <c r="E434" s="11" t="n"/>
      <c r="F434" s="10" t="n"/>
      <c r="G434" s="12">
        <f>IF(B434="","",IF(OR(COUNT(D434:E434)&lt;2,E434&lt;D434),"Проверьте даты",IF(OR(F434="Отменена",F434="Возвращена"),"",IF(SUMPRODUCT(($B$2:$B$500=B434)*($D$2:$D$500&lt;=E434)*($E$2:$E$500&gt;=D434)*($F$2:$F$500&lt;&gt;"Отменена")*($F$2:$F$500&lt;&gt;"Возвращена"))&gt;1,"Пересечение","ОК"))))</f>
        <v/>
      </c>
      <c r="H434" s="12">
        <f>IF(OR(B434="",D434=""),"",IF(AND(OR(F434="Выдана",F434="Возвращена"),SUMPRODUCT(($B$2:$B$500=B434)*($D$2:$D$500=D434)*(($F$2:$F$500="Выдана")+($F$2:$F$500="Возвращена")))&gt;1),"Дубль",""))</f>
        <v/>
      </c>
      <c r="I434" s="13">
        <f>IF(OR(B434="",COUNT(D434:E434)&lt;2,E434&lt;D434),"",IF(Настройки!$B$6=Настройки!$M$3,INT(E434)-INT(D434)+1,ROUNDUP(ROUND((E434-D434)*24,2)/24,0)))</f>
        <v/>
      </c>
      <c r="J434" s="14" t="n"/>
      <c r="K434" s="15">
        <f>IF(OR(I434="",J434=""),"",IF(F434="Отменена",0,ROUND(I434*J434,2)))</f>
        <v/>
      </c>
      <c r="L434" s="15">
        <f>IF(K434="","",ROUND(K434*Настройки!$B$5,2))</f>
        <v/>
      </c>
      <c r="M434" s="15">
        <f>IF(A434="","",SUMIFS(Начисления!$M$2:$M$1000,Начисления!$F$2:$F$1000,A434))</f>
        <v/>
      </c>
      <c r="N434" s="15">
        <f>IF(A434="","",SUM(K434:M434))</f>
        <v/>
      </c>
      <c r="O434" s="14" t="n"/>
      <c r="P434" s="15">
        <f>IF(A434="","",N434-O434)</f>
        <v/>
      </c>
      <c r="Q434" s="10" t="n"/>
      <c r="R434" s="10" t="n"/>
      <c r="S434" s="16">
        <f>IF(ISNUMBER(D434),D434+TIME(3,0,0),"")</f>
        <v/>
      </c>
      <c r="T434" s="10" t="n"/>
      <c r="U434" s="17">
        <f>IF(OR(B434="",COUNT(D434:E434)&lt;2,E434&lt;D434,F434="Отменена"),0,MAX(0,MIN(E434,Сводка!$B$4)-MAX(D434,Сводка!$B$2)))</f>
        <v/>
      </c>
    </row>
    <row r="435">
      <c r="A435" s="9" t="n"/>
      <c r="B435" s="10" t="n"/>
      <c r="C435" s="10" t="n"/>
      <c r="D435" s="11" t="n"/>
      <c r="E435" s="11" t="n"/>
      <c r="F435" s="10" t="n"/>
      <c r="G435" s="12">
        <f>IF(B435="","",IF(OR(COUNT(D435:E435)&lt;2,E435&lt;D435),"Проверьте даты",IF(OR(F435="Отменена",F435="Возвращена"),"",IF(SUMPRODUCT(($B$2:$B$500=B435)*($D$2:$D$500&lt;=E435)*($E$2:$E$500&gt;=D435)*($F$2:$F$500&lt;&gt;"Отменена")*($F$2:$F$500&lt;&gt;"Возвращена"))&gt;1,"Пересечение","ОК"))))</f>
        <v/>
      </c>
      <c r="H435" s="12">
        <f>IF(OR(B435="",D435=""),"",IF(AND(OR(F435="Выдана",F435="Возвращена"),SUMPRODUCT(($B$2:$B$500=B435)*($D$2:$D$500=D435)*(($F$2:$F$500="Выдана")+($F$2:$F$500="Возвращена")))&gt;1),"Дубль",""))</f>
        <v/>
      </c>
      <c r="I435" s="13">
        <f>IF(OR(B435="",COUNT(D435:E435)&lt;2,E435&lt;D435),"",IF(Настройки!$B$6=Настройки!$M$3,INT(E435)-INT(D435)+1,ROUNDUP(ROUND((E435-D435)*24,2)/24,0)))</f>
        <v/>
      </c>
      <c r="J435" s="14" t="n"/>
      <c r="K435" s="15">
        <f>IF(OR(I435="",J435=""),"",IF(F435="Отменена",0,ROUND(I435*J435,2)))</f>
        <v/>
      </c>
      <c r="L435" s="15">
        <f>IF(K435="","",ROUND(K435*Настройки!$B$5,2))</f>
        <v/>
      </c>
      <c r="M435" s="15">
        <f>IF(A435="","",SUMIFS(Начисления!$M$2:$M$1000,Начисления!$F$2:$F$1000,A435))</f>
        <v/>
      </c>
      <c r="N435" s="15">
        <f>IF(A435="","",SUM(K435:M435))</f>
        <v/>
      </c>
      <c r="O435" s="14" t="n"/>
      <c r="P435" s="15">
        <f>IF(A435="","",N435-O435)</f>
        <v/>
      </c>
      <c r="Q435" s="10" t="n"/>
      <c r="R435" s="10" t="n"/>
      <c r="S435" s="16">
        <f>IF(ISNUMBER(D435),D435+TIME(3,0,0),"")</f>
        <v/>
      </c>
      <c r="T435" s="10" t="n"/>
      <c r="U435" s="17">
        <f>IF(OR(B435="",COUNT(D435:E435)&lt;2,E435&lt;D435,F435="Отменена"),0,MAX(0,MIN(E435,Сводка!$B$4)-MAX(D435,Сводка!$B$2)))</f>
        <v/>
      </c>
    </row>
    <row r="436">
      <c r="A436" s="9" t="n"/>
      <c r="B436" s="10" t="n"/>
      <c r="C436" s="10" t="n"/>
      <c r="D436" s="11" t="n"/>
      <c r="E436" s="11" t="n"/>
      <c r="F436" s="10" t="n"/>
      <c r="G436" s="12">
        <f>IF(B436="","",IF(OR(COUNT(D436:E436)&lt;2,E436&lt;D436),"Проверьте даты",IF(OR(F436="Отменена",F436="Возвращена"),"",IF(SUMPRODUCT(($B$2:$B$500=B436)*($D$2:$D$500&lt;=E436)*($E$2:$E$500&gt;=D436)*($F$2:$F$500&lt;&gt;"Отменена")*($F$2:$F$500&lt;&gt;"Возвращена"))&gt;1,"Пересечение","ОК"))))</f>
        <v/>
      </c>
      <c r="H436" s="12">
        <f>IF(OR(B436="",D436=""),"",IF(AND(OR(F436="Выдана",F436="Возвращена"),SUMPRODUCT(($B$2:$B$500=B436)*($D$2:$D$500=D436)*(($F$2:$F$500="Выдана")+($F$2:$F$500="Возвращена")))&gt;1),"Дубль",""))</f>
        <v/>
      </c>
      <c r="I436" s="13">
        <f>IF(OR(B436="",COUNT(D436:E436)&lt;2,E436&lt;D436),"",IF(Настройки!$B$6=Настройки!$M$3,INT(E436)-INT(D436)+1,ROUNDUP(ROUND((E436-D436)*24,2)/24,0)))</f>
        <v/>
      </c>
      <c r="J436" s="14" t="n"/>
      <c r="K436" s="15">
        <f>IF(OR(I436="",J436=""),"",IF(F436="Отменена",0,ROUND(I436*J436,2)))</f>
        <v/>
      </c>
      <c r="L436" s="15">
        <f>IF(K436="","",ROUND(K436*Настройки!$B$5,2))</f>
        <v/>
      </c>
      <c r="M436" s="15">
        <f>IF(A436="","",SUMIFS(Начисления!$M$2:$M$1000,Начисления!$F$2:$F$1000,A436))</f>
        <v/>
      </c>
      <c r="N436" s="15">
        <f>IF(A436="","",SUM(K436:M436))</f>
        <v/>
      </c>
      <c r="O436" s="14" t="n"/>
      <c r="P436" s="15">
        <f>IF(A436="","",N436-O436)</f>
        <v/>
      </c>
      <c r="Q436" s="10" t="n"/>
      <c r="R436" s="10" t="n"/>
      <c r="S436" s="16">
        <f>IF(ISNUMBER(D436),D436+TIME(3,0,0),"")</f>
        <v/>
      </c>
      <c r="T436" s="10" t="n"/>
      <c r="U436" s="17">
        <f>IF(OR(B436="",COUNT(D436:E436)&lt;2,E436&lt;D436,F436="Отменена"),0,MAX(0,MIN(E436,Сводка!$B$4)-MAX(D436,Сводка!$B$2)))</f>
        <v/>
      </c>
    </row>
    <row r="437">
      <c r="A437" s="9" t="n"/>
      <c r="B437" s="10" t="n"/>
      <c r="C437" s="10" t="n"/>
      <c r="D437" s="11" t="n"/>
      <c r="E437" s="11" t="n"/>
      <c r="F437" s="10" t="n"/>
      <c r="G437" s="12">
        <f>IF(B437="","",IF(OR(COUNT(D437:E437)&lt;2,E437&lt;D437),"Проверьте даты",IF(OR(F437="Отменена",F437="Возвращена"),"",IF(SUMPRODUCT(($B$2:$B$500=B437)*($D$2:$D$500&lt;=E437)*($E$2:$E$500&gt;=D437)*($F$2:$F$500&lt;&gt;"Отменена")*($F$2:$F$500&lt;&gt;"Возвращена"))&gt;1,"Пересечение","ОК"))))</f>
        <v/>
      </c>
      <c r="H437" s="12">
        <f>IF(OR(B437="",D437=""),"",IF(AND(OR(F437="Выдана",F437="Возвращена"),SUMPRODUCT(($B$2:$B$500=B437)*($D$2:$D$500=D437)*(($F$2:$F$500="Выдана")+($F$2:$F$500="Возвращена")))&gt;1),"Дубль",""))</f>
        <v/>
      </c>
      <c r="I437" s="13">
        <f>IF(OR(B437="",COUNT(D437:E437)&lt;2,E437&lt;D437),"",IF(Настройки!$B$6=Настройки!$M$3,INT(E437)-INT(D437)+1,ROUNDUP(ROUND((E437-D437)*24,2)/24,0)))</f>
        <v/>
      </c>
      <c r="J437" s="14" t="n"/>
      <c r="K437" s="15">
        <f>IF(OR(I437="",J437=""),"",IF(F437="Отменена",0,ROUND(I437*J437,2)))</f>
        <v/>
      </c>
      <c r="L437" s="15">
        <f>IF(K437="","",ROUND(K437*Настройки!$B$5,2))</f>
        <v/>
      </c>
      <c r="M437" s="15">
        <f>IF(A437="","",SUMIFS(Начисления!$M$2:$M$1000,Начисления!$F$2:$F$1000,A437))</f>
        <v/>
      </c>
      <c r="N437" s="15">
        <f>IF(A437="","",SUM(K437:M437))</f>
        <v/>
      </c>
      <c r="O437" s="14" t="n"/>
      <c r="P437" s="15">
        <f>IF(A437="","",N437-O437)</f>
        <v/>
      </c>
      <c r="Q437" s="10" t="n"/>
      <c r="R437" s="10" t="n"/>
      <c r="S437" s="16">
        <f>IF(ISNUMBER(D437),D437+TIME(3,0,0),"")</f>
        <v/>
      </c>
      <c r="T437" s="10" t="n"/>
      <c r="U437" s="17">
        <f>IF(OR(B437="",COUNT(D437:E437)&lt;2,E437&lt;D437,F437="Отменена"),0,MAX(0,MIN(E437,Сводка!$B$4)-MAX(D437,Сводка!$B$2)))</f>
        <v/>
      </c>
    </row>
    <row r="438">
      <c r="A438" s="9" t="n"/>
      <c r="B438" s="10" t="n"/>
      <c r="C438" s="10" t="n"/>
      <c r="D438" s="11" t="n"/>
      <c r="E438" s="11" t="n"/>
      <c r="F438" s="10" t="n"/>
      <c r="G438" s="12">
        <f>IF(B438="","",IF(OR(COUNT(D438:E438)&lt;2,E438&lt;D438),"Проверьте даты",IF(OR(F438="Отменена",F438="Возвращена"),"",IF(SUMPRODUCT(($B$2:$B$500=B438)*($D$2:$D$500&lt;=E438)*($E$2:$E$500&gt;=D438)*($F$2:$F$500&lt;&gt;"Отменена")*($F$2:$F$500&lt;&gt;"Возвращена"))&gt;1,"Пересечение","ОК"))))</f>
        <v/>
      </c>
      <c r="H438" s="12">
        <f>IF(OR(B438="",D438=""),"",IF(AND(OR(F438="Выдана",F438="Возвращена"),SUMPRODUCT(($B$2:$B$500=B438)*($D$2:$D$500=D438)*(($F$2:$F$500="Выдана")+($F$2:$F$500="Возвращена")))&gt;1),"Дубль",""))</f>
        <v/>
      </c>
      <c r="I438" s="13">
        <f>IF(OR(B438="",COUNT(D438:E438)&lt;2,E438&lt;D438),"",IF(Настройки!$B$6=Настройки!$M$3,INT(E438)-INT(D438)+1,ROUNDUP(ROUND((E438-D438)*24,2)/24,0)))</f>
        <v/>
      </c>
      <c r="J438" s="14" t="n"/>
      <c r="K438" s="15">
        <f>IF(OR(I438="",J438=""),"",IF(F438="Отменена",0,ROUND(I438*J438,2)))</f>
        <v/>
      </c>
      <c r="L438" s="15">
        <f>IF(K438="","",ROUND(K438*Настройки!$B$5,2))</f>
        <v/>
      </c>
      <c r="M438" s="15">
        <f>IF(A438="","",SUMIFS(Начисления!$M$2:$M$1000,Начисления!$F$2:$F$1000,A438))</f>
        <v/>
      </c>
      <c r="N438" s="15">
        <f>IF(A438="","",SUM(K438:M438))</f>
        <v/>
      </c>
      <c r="O438" s="14" t="n"/>
      <c r="P438" s="15">
        <f>IF(A438="","",N438-O438)</f>
        <v/>
      </c>
      <c r="Q438" s="10" t="n"/>
      <c r="R438" s="10" t="n"/>
      <c r="S438" s="16">
        <f>IF(ISNUMBER(D438),D438+TIME(3,0,0),"")</f>
        <v/>
      </c>
      <c r="T438" s="10" t="n"/>
      <c r="U438" s="17">
        <f>IF(OR(B438="",COUNT(D438:E438)&lt;2,E438&lt;D438,F438="Отменена"),0,MAX(0,MIN(E438,Сводка!$B$4)-MAX(D438,Сводка!$B$2)))</f>
        <v/>
      </c>
    </row>
    <row r="439">
      <c r="A439" s="9" t="n"/>
      <c r="B439" s="10" t="n"/>
      <c r="C439" s="10" t="n"/>
      <c r="D439" s="11" t="n"/>
      <c r="E439" s="11" t="n"/>
      <c r="F439" s="10" t="n"/>
      <c r="G439" s="12">
        <f>IF(B439="","",IF(OR(COUNT(D439:E439)&lt;2,E439&lt;D439),"Проверьте даты",IF(OR(F439="Отменена",F439="Возвращена"),"",IF(SUMPRODUCT(($B$2:$B$500=B439)*($D$2:$D$500&lt;=E439)*($E$2:$E$500&gt;=D439)*($F$2:$F$500&lt;&gt;"Отменена")*($F$2:$F$500&lt;&gt;"Возвращена"))&gt;1,"Пересечение","ОК"))))</f>
        <v/>
      </c>
      <c r="H439" s="12">
        <f>IF(OR(B439="",D439=""),"",IF(AND(OR(F439="Выдана",F439="Возвращена"),SUMPRODUCT(($B$2:$B$500=B439)*($D$2:$D$500=D439)*(($F$2:$F$500="Выдана")+($F$2:$F$500="Возвращена")))&gt;1),"Дубль",""))</f>
        <v/>
      </c>
      <c r="I439" s="13">
        <f>IF(OR(B439="",COUNT(D439:E439)&lt;2,E439&lt;D439),"",IF(Настройки!$B$6=Настройки!$M$3,INT(E439)-INT(D439)+1,ROUNDUP(ROUND((E439-D439)*24,2)/24,0)))</f>
        <v/>
      </c>
      <c r="J439" s="14" t="n"/>
      <c r="K439" s="15">
        <f>IF(OR(I439="",J439=""),"",IF(F439="Отменена",0,ROUND(I439*J439,2)))</f>
        <v/>
      </c>
      <c r="L439" s="15">
        <f>IF(K439="","",ROUND(K439*Настройки!$B$5,2))</f>
        <v/>
      </c>
      <c r="M439" s="15">
        <f>IF(A439="","",SUMIFS(Начисления!$M$2:$M$1000,Начисления!$F$2:$F$1000,A439))</f>
        <v/>
      </c>
      <c r="N439" s="15">
        <f>IF(A439="","",SUM(K439:M439))</f>
        <v/>
      </c>
      <c r="O439" s="14" t="n"/>
      <c r="P439" s="15">
        <f>IF(A439="","",N439-O439)</f>
        <v/>
      </c>
      <c r="Q439" s="10" t="n"/>
      <c r="R439" s="10" t="n"/>
      <c r="S439" s="16">
        <f>IF(ISNUMBER(D439),D439+TIME(3,0,0),"")</f>
        <v/>
      </c>
      <c r="T439" s="10" t="n"/>
      <c r="U439" s="17">
        <f>IF(OR(B439="",COUNT(D439:E439)&lt;2,E439&lt;D439,F439="Отменена"),0,MAX(0,MIN(E439,Сводка!$B$4)-MAX(D439,Сводка!$B$2)))</f>
        <v/>
      </c>
    </row>
    <row r="440">
      <c r="A440" s="9" t="n"/>
      <c r="B440" s="10" t="n"/>
      <c r="C440" s="10" t="n"/>
      <c r="D440" s="11" t="n"/>
      <c r="E440" s="11" t="n"/>
      <c r="F440" s="10" t="n"/>
      <c r="G440" s="12">
        <f>IF(B440="","",IF(OR(COUNT(D440:E440)&lt;2,E440&lt;D440),"Проверьте даты",IF(OR(F440="Отменена",F440="Возвращена"),"",IF(SUMPRODUCT(($B$2:$B$500=B440)*($D$2:$D$500&lt;=E440)*($E$2:$E$500&gt;=D440)*($F$2:$F$500&lt;&gt;"Отменена")*($F$2:$F$500&lt;&gt;"Возвращена"))&gt;1,"Пересечение","ОК"))))</f>
        <v/>
      </c>
      <c r="H440" s="12">
        <f>IF(OR(B440="",D440=""),"",IF(AND(OR(F440="Выдана",F440="Возвращена"),SUMPRODUCT(($B$2:$B$500=B440)*($D$2:$D$500=D440)*(($F$2:$F$500="Выдана")+($F$2:$F$500="Возвращена")))&gt;1),"Дубль",""))</f>
        <v/>
      </c>
      <c r="I440" s="13">
        <f>IF(OR(B440="",COUNT(D440:E440)&lt;2,E440&lt;D440),"",IF(Настройки!$B$6=Настройки!$M$3,INT(E440)-INT(D440)+1,ROUNDUP(ROUND((E440-D440)*24,2)/24,0)))</f>
        <v/>
      </c>
      <c r="J440" s="14" t="n"/>
      <c r="K440" s="15">
        <f>IF(OR(I440="",J440=""),"",IF(F440="Отменена",0,ROUND(I440*J440,2)))</f>
        <v/>
      </c>
      <c r="L440" s="15">
        <f>IF(K440="","",ROUND(K440*Настройки!$B$5,2))</f>
        <v/>
      </c>
      <c r="M440" s="15">
        <f>IF(A440="","",SUMIFS(Начисления!$M$2:$M$1000,Начисления!$F$2:$F$1000,A440))</f>
        <v/>
      </c>
      <c r="N440" s="15">
        <f>IF(A440="","",SUM(K440:M440))</f>
        <v/>
      </c>
      <c r="O440" s="14" t="n"/>
      <c r="P440" s="15">
        <f>IF(A440="","",N440-O440)</f>
        <v/>
      </c>
      <c r="Q440" s="10" t="n"/>
      <c r="R440" s="10" t="n"/>
      <c r="S440" s="16">
        <f>IF(ISNUMBER(D440),D440+TIME(3,0,0),"")</f>
        <v/>
      </c>
      <c r="T440" s="10" t="n"/>
      <c r="U440" s="17">
        <f>IF(OR(B440="",COUNT(D440:E440)&lt;2,E440&lt;D440,F440="Отменена"),0,MAX(0,MIN(E440,Сводка!$B$4)-MAX(D440,Сводка!$B$2)))</f>
        <v/>
      </c>
    </row>
    <row r="441">
      <c r="A441" s="9" t="n"/>
      <c r="B441" s="10" t="n"/>
      <c r="C441" s="10" t="n"/>
      <c r="D441" s="11" t="n"/>
      <c r="E441" s="11" t="n"/>
      <c r="F441" s="10" t="n"/>
      <c r="G441" s="12">
        <f>IF(B441="","",IF(OR(COUNT(D441:E441)&lt;2,E441&lt;D441),"Проверьте даты",IF(OR(F441="Отменена",F441="Возвращена"),"",IF(SUMPRODUCT(($B$2:$B$500=B441)*($D$2:$D$500&lt;=E441)*($E$2:$E$500&gt;=D441)*($F$2:$F$500&lt;&gt;"Отменена")*($F$2:$F$500&lt;&gt;"Возвращена"))&gt;1,"Пересечение","ОК"))))</f>
        <v/>
      </c>
      <c r="H441" s="12">
        <f>IF(OR(B441="",D441=""),"",IF(AND(OR(F441="Выдана",F441="Возвращена"),SUMPRODUCT(($B$2:$B$500=B441)*($D$2:$D$500=D441)*(($F$2:$F$500="Выдана")+($F$2:$F$500="Возвращена")))&gt;1),"Дубль",""))</f>
        <v/>
      </c>
      <c r="I441" s="13">
        <f>IF(OR(B441="",COUNT(D441:E441)&lt;2,E441&lt;D441),"",IF(Настройки!$B$6=Настройки!$M$3,INT(E441)-INT(D441)+1,ROUNDUP(ROUND((E441-D441)*24,2)/24,0)))</f>
        <v/>
      </c>
      <c r="J441" s="14" t="n"/>
      <c r="K441" s="15">
        <f>IF(OR(I441="",J441=""),"",IF(F441="Отменена",0,ROUND(I441*J441,2)))</f>
        <v/>
      </c>
      <c r="L441" s="15">
        <f>IF(K441="","",ROUND(K441*Настройки!$B$5,2))</f>
        <v/>
      </c>
      <c r="M441" s="15">
        <f>IF(A441="","",SUMIFS(Начисления!$M$2:$M$1000,Начисления!$F$2:$F$1000,A441))</f>
        <v/>
      </c>
      <c r="N441" s="15">
        <f>IF(A441="","",SUM(K441:M441))</f>
        <v/>
      </c>
      <c r="O441" s="14" t="n"/>
      <c r="P441" s="15">
        <f>IF(A441="","",N441-O441)</f>
        <v/>
      </c>
      <c r="Q441" s="10" t="n"/>
      <c r="R441" s="10" t="n"/>
      <c r="S441" s="16">
        <f>IF(ISNUMBER(D441),D441+TIME(3,0,0),"")</f>
        <v/>
      </c>
      <c r="T441" s="10" t="n"/>
      <c r="U441" s="17">
        <f>IF(OR(B441="",COUNT(D441:E441)&lt;2,E441&lt;D441,F441="Отменена"),0,MAX(0,MIN(E441,Сводка!$B$4)-MAX(D441,Сводка!$B$2)))</f>
        <v/>
      </c>
    </row>
    <row r="442">
      <c r="A442" s="9" t="n"/>
      <c r="B442" s="10" t="n"/>
      <c r="C442" s="10" t="n"/>
      <c r="D442" s="11" t="n"/>
      <c r="E442" s="11" t="n"/>
      <c r="F442" s="10" t="n"/>
      <c r="G442" s="12">
        <f>IF(B442="","",IF(OR(COUNT(D442:E442)&lt;2,E442&lt;D442),"Проверьте даты",IF(OR(F442="Отменена",F442="Возвращена"),"",IF(SUMPRODUCT(($B$2:$B$500=B442)*($D$2:$D$500&lt;=E442)*($E$2:$E$500&gt;=D442)*($F$2:$F$500&lt;&gt;"Отменена")*($F$2:$F$500&lt;&gt;"Возвращена"))&gt;1,"Пересечение","ОК"))))</f>
        <v/>
      </c>
      <c r="H442" s="12">
        <f>IF(OR(B442="",D442=""),"",IF(AND(OR(F442="Выдана",F442="Возвращена"),SUMPRODUCT(($B$2:$B$500=B442)*($D$2:$D$500=D442)*(($F$2:$F$500="Выдана")+($F$2:$F$500="Возвращена")))&gt;1),"Дубль",""))</f>
        <v/>
      </c>
      <c r="I442" s="13">
        <f>IF(OR(B442="",COUNT(D442:E442)&lt;2,E442&lt;D442),"",IF(Настройки!$B$6=Настройки!$M$3,INT(E442)-INT(D442)+1,ROUNDUP(ROUND((E442-D442)*24,2)/24,0)))</f>
        <v/>
      </c>
      <c r="J442" s="14" t="n"/>
      <c r="K442" s="15">
        <f>IF(OR(I442="",J442=""),"",IF(F442="Отменена",0,ROUND(I442*J442,2)))</f>
        <v/>
      </c>
      <c r="L442" s="15">
        <f>IF(K442="","",ROUND(K442*Настройки!$B$5,2))</f>
        <v/>
      </c>
      <c r="M442" s="15">
        <f>IF(A442="","",SUMIFS(Начисления!$M$2:$M$1000,Начисления!$F$2:$F$1000,A442))</f>
        <v/>
      </c>
      <c r="N442" s="15">
        <f>IF(A442="","",SUM(K442:M442))</f>
        <v/>
      </c>
      <c r="O442" s="14" t="n"/>
      <c r="P442" s="15">
        <f>IF(A442="","",N442-O442)</f>
        <v/>
      </c>
      <c r="Q442" s="10" t="n"/>
      <c r="R442" s="10" t="n"/>
      <c r="S442" s="16">
        <f>IF(ISNUMBER(D442),D442+TIME(3,0,0),"")</f>
        <v/>
      </c>
      <c r="T442" s="10" t="n"/>
      <c r="U442" s="17">
        <f>IF(OR(B442="",COUNT(D442:E442)&lt;2,E442&lt;D442,F442="Отменена"),0,MAX(0,MIN(E442,Сводка!$B$4)-MAX(D442,Сводка!$B$2)))</f>
        <v/>
      </c>
    </row>
    <row r="443">
      <c r="A443" s="9" t="n"/>
      <c r="B443" s="10" t="n"/>
      <c r="C443" s="10" t="n"/>
      <c r="D443" s="11" t="n"/>
      <c r="E443" s="11" t="n"/>
      <c r="F443" s="10" t="n"/>
      <c r="G443" s="12">
        <f>IF(B443="","",IF(OR(COUNT(D443:E443)&lt;2,E443&lt;D443),"Проверьте даты",IF(OR(F443="Отменена",F443="Возвращена"),"",IF(SUMPRODUCT(($B$2:$B$500=B443)*($D$2:$D$500&lt;=E443)*($E$2:$E$500&gt;=D443)*($F$2:$F$500&lt;&gt;"Отменена")*($F$2:$F$500&lt;&gt;"Возвращена"))&gt;1,"Пересечение","ОК"))))</f>
        <v/>
      </c>
      <c r="H443" s="12">
        <f>IF(OR(B443="",D443=""),"",IF(AND(OR(F443="Выдана",F443="Возвращена"),SUMPRODUCT(($B$2:$B$500=B443)*($D$2:$D$500=D443)*(($F$2:$F$500="Выдана")+($F$2:$F$500="Возвращена")))&gt;1),"Дубль",""))</f>
        <v/>
      </c>
      <c r="I443" s="13">
        <f>IF(OR(B443="",COUNT(D443:E443)&lt;2,E443&lt;D443),"",IF(Настройки!$B$6=Настройки!$M$3,INT(E443)-INT(D443)+1,ROUNDUP(ROUND((E443-D443)*24,2)/24,0)))</f>
        <v/>
      </c>
      <c r="J443" s="14" t="n"/>
      <c r="K443" s="15">
        <f>IF(OR(I443="",J443=""),"",IF(F443="Отменена",0,ROUND(I443*J443,2)))</f>
        <v/>
      </c>
      <c r="L443" s="15">
        <f>IF(K443="","",ROUND(K443*Настройки!$B$5,2))</f>
        <v/>
      </c>
      <c r="M443" s="15">
        <f>IF(A443="","",SUMIFS(Начисления!$M$2:$M$1000,Начисления!$F$2:$F$1000,A443))</f>
        <v/>
      </c>
      <c r="N443" s="15">
        <f>IF(A443="","",SUM(K443:M443))</f>
        <v/>
      </c>
      <c r="O443" s="14" t="n"/>
      <c r="P443" s="15">
        <f>IF(A443="","",N443-O443)</f>
        <v/>
      </c>
      <c r="Q443" s="10" t="n"/>
      <c r="R443" s="10" t="n"/>
      <c r="S443" s="16">
        <f>IF(ISNUMBER(D443),D443+TIME(3,0,0),"")</f>
        <v/>
      </c>
      <c r="T443" s="10" t="n"/>
      <c r="U443" s="17">
        <f>IF(OR(B443="",COUNT(D443:E443)&lt;2,E443&lt;D443,F443="Отменена"),0,MAX(0,MIN(E443,Сводка!$B$4)-MAX(D443,Сводка!$B$2)))</f>
        <v/>
      </c>
    </row>
    <row r="444">
      <c r="A444" s="9" t="n"/>
      <c r="B444" s="10" t="n"/>
      <c r="C444" s="10" t="n"/>
      <c r="D444" s="11" t="n"/>
      <c r="E444" s="11" t="n"/>
      <c r="F444" s="10" t="n"/>
      <c r="G444" s="12">
        <f>IF(B444="","",IF(OR(COUNT(D444:E444)&lt;2,E444&lt;D444),"Проверьте даты",IF(OR(F444="Отменена",F444="Возвращена"),"",IF(SUMPRODUCT(($B$2:$B$500=B444)*($D$2:$D$500&lt;=E444)*($E$2:$E$500&gt;=D444)*($F$2:$F$500&lt;&gt;"Отменена")*($F$2:$F$500&lt;&gt;"Возвращена"))&gt;1,"Пересечение","ОК"))))</f>
        <v/>
      </c>
      <c r="H444" s="12">
        <f>IF(OR(B444="",D444=""),"",IF(AND(OR(F444="Выдана",F444="Возвращена"),SUMPRODUCT(($B$2:$B$500=B444)*($D$2:$D$500=D444)*(($F$2:$F$500="Выдана")+($F$2:$F$500="Возвращена")))&gt;1),"Дубль",""))</f>
        <v/>
      </c>
      <c r="I444" s="13">
        <f>IF(OR(B444="",COUNT(D444:E444)&lt;2,E444&lt;D444),"",IF(Настройки!$B$6=Настройки!$M$3,INT(E444)-INT(D444)+1,ROUNDUP(ROUND((E444-D444)*24,2)/24,0)))</f>
        <v/>
      </c>
      <c r="J444" s="14" t="n"/>
      <c r="K444" s="15">
        <f>IF(OR(I444="",J444=""),"",IF(F444="Отменена",0,ROUND(I444*J444,2)))</f>
        <v/>
      </c>
      <c r="L444" s="15">
        <f>IF(K444="","",ROUND(K444*Настройки!$B$5,2))</f>
        <v/>
      </c>
      <c r="M444" s="15">
        <f>IF(A444="","",SUMIFS(Начисления!$M$2:$M$1000,Начисления!$F$2:$F$1000,A444))</f>
        <v/>
      </c>
      <c r="N444" s="15">
        <f>IF(A444="","",SUM(K444:M444))</f>
        <v/>
      </c>
      <c r="O444" s="14" t="n"/>
      <c r="P444" s="15">
        <f>IF(A444="","",N444-O444)</f>
        <v/>
      </c>
      <c r="Q444" s="10" t="n"/>
      <c r="R444" s="10" t="n"/>
      <c r="S444" s="16">
        <f>IF(ISNUMBER(D444),D444+TIME(3,0,0),"")</f>
        <v/>
      </c>
      <c r="T444" s="10" t="n"/>
      <c r="U444" s="17">
        <f>IF(OR(B444="",COUNT(D444:E444)&lt;2,E444&lt;D444,F444="Отменена"),0,MAX(0,MIN(E444,Сводка!$B$4)-MAX(D444,Сводка!$B$2)))</f>
        <v/>
      </c>
    </row>
    <row r="445">
      <c r="A445" s="9" t="n"/>
      <c r="B445" s="10" t="n"/>
      <c r="C445" s="10" t="n"/>
      <c r="D445" s="11" t="n"/>
      <c r="E445" s="11" t="n"/>
      <c r="F445" s="10" t="n"/>
      <c r="G445" s="12">
        <f>IF(B445="","",IF(OR(COUNT(D445:E445)&lt;2,E445&lt;D445),"Проверьте даты",IF(OR(F445="Отменена",F445="Возвращена"),"",IF(SUMPRODUCT(($B$2:$B$500=B445)*($D$2:$D$500&lt;=E445)*($E$2:$E$500&gt;=D445)*($F$2:$F$500&lt;&gt;"Отменена")*($F$2:$F$500&lt;&gt;"Возвращена"))&gt;1,"Пересечение","ОК"))))</f>
        <v/>
      </c>
      <c r="H445" s="12">
        <f>IF(OR(B445="",D445=""),"",IF(AND(OR(F445="Выдана",F445="Возвращена"),SUMPRODUCT(($B$2:$B$500=B445)*($D$2:$D$500=D445)*(($F$2:$F$500="Выдана")+($F$2:$F$500="Возвращена")))&gt;1),"Дубль",""))</f>
        <v/>
      </c>
      <c r="I445" s="13">
        <f>IF(OR(B445="",COUNT(D445:E445)&lt;2,E445&lt;D445),"",IF(Настройки!$B$6=Настройки!$M$3,INT(E445)-INT(D445)+1,ROUNDUP(ROUND((E445-D445)*24,2)/24,0)))</f>
        <v/>
      </c>
      <c r="J445" s="14" t="n"/>
      <c r="K445" s="15">
        <f>IF(OR(I445="",J445=""),"",IF(F445="Отменена",0,ROUND(I445*J445,2)))</f>
        <v/>
      </c>
      <c r="L445" s="15">
        <f>IF(K445="","",ROUND(K445*Настройки!$B$5,2))</f>
        <v/>
      </c>
      <c r="M445" s="15">
        <f>IF(A445="","",SUMIFS(Начисления!$M$2:$M$1000,Начисления!$F$2:$F$1000,A445))</f>
        <v/>
      </c>
      <c r="N445" s="15">
        <f>IF(A445="","",SUM(K445:M445))</f>
        <v/>
      </c>
      <c r="O445" s="14" t="n"/>
      <c r="P445" s="15">
        <f>IF(A445="","",N445-O445)</f>
        <v/>
      </c>
      <c r="Q445" s="10" t="n"/>
      <c r="R445" s="10" t="n"/>
      <c r="S445" s="16">
        <f>IF(ISNUMBER(D445),D445+TIME(3,0,0),"")</f>
        <v/>
      </c>
      <c r="T445" s="10" t="n"/>
      <c r="U445" s="17">
        <f>IF(OR(B445="",COUNT(D445:E445)&lt;2,E445&lt;D445,F445="Отменена"),0,MAX(0,MIN(E445,Сводка!$B$4)-MAX(D445,Сводка!$B$2)))</f>
        <v/>
      </c>
    </row>
    <row r="446">
      <c r="A446" s="9" t="n"/>
      <c r="B446" s="10" t="n"/>
      <c r="C446" s="10" t="n"/>
      <c r="D446" s="11" t="n"/>
      <c r="E446" s="11" t="n"/>
      <c r="F446" s="10" t="n"/>
      <c r="G446" s="12">
        <f>IF(B446="","",IF(OR(COUNT(D446:E446)&lt;2,E446&lt;D446),"Проверьте даты",IF(OR(F446="Отменена",F446="Возвращена"),"",IF(SUMPRODUCT(($B$2:$B$500=B446)*($D$2:$D$500&lt;=E446)*($E$2:$E$500&gt;=D446)*($F$2:$F$500&lt;&gt;"Отменена")*($F$2:$F$500&lt;&gt;"Возвращена"))&gt;1,"Пересечение","ОК"))))</f>
        <v/>
      </c>
      <c r="H446" s="12">
        <f>IF(OR(B446="",D446=""),"",IF(AND(OR(F446="Выдана",F446="Возвращена"),SUMPRODUCT(($B$2:$B$500=B446)*($D$2:$D$500=D446)*(($F$2:$F$500="Выдана")+($F$2:$F$500="Возвращена")))&gt;1),"Дубль",""))</f>
        <v/>
      </c>
      <c r="I446" s="13">
        <f>IF(OR(B446="",COUNT(D446:E446)&lt;2,E446&lt;D446),"",IF(Настройки!$B$6=Настройки!$M$3,INT(E446)-INT(D446)+1,ROUNDUP(ROUND((E446-D446)*24,2)/24,0)))</f>
        <v/>
      </c>
      <c r="J446" s="14" t="n"/>
      <c r="K446" s="15">
        <f>IF(OR(I446="",J446=""),"",IF(F446="Отменена",0,ROUND(I446*J446,2)))</f>
        <v/>
      </c>
      <c r="L446" s="15">
        <f>IF(K446="","",ROUND(K446*Настройки!$B$5,2))</f>
        <v/>
      </c>
      <c r="M446" s="15">
        <f>IF(A446="","",SUMIFS(Начисления!$M$2:$M$1000,Начисления!$F$2:$F$1000,A446))</f>
        <v/>
      </c>
      <c r="N446" s="15">
        <f>IF(A446="","",SUM(K446:M446))</f>
        <v/>
      </c>
      <c r="O446" s="14" t="n"/>
      <c r="P446" s="15">
        <f>IF(A446="","",N446-O446)</f>
        <v/>
      </c>
      <c r="Q446" s="10" t="n"/>
      <c r="R446" s="10" t="n"/>
      <c r="S446" s="16">
        <f>IF(ISNUMBER(D446),D446+TIME(3,0,0),"")</f>
        <v/>
      </c>
      <c r="T446" s="10" t="n"/>
      <c r="U446" s="17">
        <f>IF(OR(B446="",COUNT(D446:E446)&lt;2,E446&lt;D446,F446="Отменена"),0,MAX(0,MIN(E446,Сводка!$B$4)-MAX(D446,Сводка!$B$2)))</f>
        <v/>
      </c>
    </row>
    <row r="447">
      <c r="A447" s="9" t="n"/>
      <c r="B447" s="10" t="n"/>
      <c r="C447" s="10" t="n"/>
      <c r="D447" s="11" t="n"/>
      <c r="E447" s="11" t="n"/>
      <c r="F447" s="10" t="n"/>
      <c r="G447" s="12">
        <f>IF(B447="","",IF(OR(COUNT(D447:E447)&lt;2,E447&lt;D447),"Проверьте даты",IF(OR(F447="Отменена",F447="Возвращена"),"",IF(SUMPRODUCT(($B$2:$B$500=B447)*($D$2:$D$500&lt;=E447)*($E$2:$E$500&gt;=D447)*($F$2:$F$500&lt;&gt;"Отменена")*($F$2:$F$500&lt;&gt;"Возвращена"))&gt;1,"Пересечение","ОК"))))</f>
        <v/>
      </c>
      <c r="H447" s="12">
        <f>IF(OR(B447="",D447=""),"",IF(AND(OR(F447="Выдана",F447="Возвращена"),SUMPRODUCT(($B$2:$B$500=B447)*($D$2:$D$500=D447)*(($F$2:$F$500="Выдана")+($F$2:$F$500="Возвращена")))&gt;1),"Дубль",""))</f>
        <v/>
      </c>
      <c r="I447" s="13">
        <f>IF(OR(B447="",COUNT(D447:E447)&lt;2,E447&lt;D447),"",IF(Настройки!$B$6=Настройки!$M$3,INT(E447)-INT(D447)+1,ROUNDUP(ROUND((E447-D447)*24,2)/24,0)))</f>
        <v/>
      </c>
      <c r="J447" s="14" t="n"/>
      <c r="K447" s="15">
        <f>IF(OR(I447="",J447=""),"",IF(F447="Отменена",0,ROUND(I447*J447,2)))</f>
        <v/>
      </c>
      <c r="L447" s="15">
        <f>IF(K447="","",ROUND(K447*Настройки!$B$5,2))</f>
        <v/>
      </c>
      <c r="M447" s="15">
        <f>IF(A447="","",SUMIFS(Начисления!$M$2:$M$1000,Начисления!$F$2:$F$1000,A447))</f>
        <v/>
      </c>
      <c r="N447" s="15">
        <f>IF(A447="","",SUM(K447:M447))</f>
        <v/>
      </c>
      <c r="O447" s="14" t="n"/>
      <c r="P447" s="15">
        <f>IF(A447="","",N447-O447)</f>
        <v/>
      </c>
      <c r="Q447" s="10" t="n"/>
      <c r="R447" s="10" t="n"/>
      <c r="S447" s="16">
        <f>IF(ISNUMBER(D447),D447+TIME(3,0,0),"")</f>
        <v/>
      </c>
      <c r="T447" s="10" t="n"/>
      <c r="U447" s="17">
        <f>IF(OR(B447="",COUNT(D447:E447)&lt;2,E447&lt;D447,F447="Отменена"),0,MAX(0,MIN(E447,Сводка!$B$4)-MAX(D447,Сводка!$B$2)))</f>
        <v/>
      </c>
    </row>
    <row r="448">
      <c r="A448" s="9" t="n"/>
      <c r="B448" s="10" t="n"/>
      <c r="C448" s="10" t="n"/>
      <c r="D448" s="11" t="n"/>
      <c r="E448" s="11" t="n"/>
      <c r="F448" s="10" t="n"/>
      <c r="G448" s="12">
        <f>IF(B448="","",IF(OR(COUNT(D448:E448)&lt;2,E448&lt;D448),"Проверьте даты",IF(OR(F448="Отменена",F448="Возвращена"),"",IF(SUMPRODUCT(($B$2:$B$500=B448)*($D$2:$D$500&lt;=E448)*($E$2:$E$500&gt;=D448)*($F$2:$F$500&lt;&gt;"Отменена")*($F$2:$F$500&lt;&gt;"Возвращена"))&gt;1,"Пересечение","ОК"))))</f>
        <v/>
      </c>
      <c r="H448" s="12">
        <f>IF(OR(B448="",D448=""),"",IF(AND(OR(F448="Выдана",F448="Возвращена"),SUMPRODUCT(($B$2:$B$500=B448)*($D$2:$D$500=D448)*(($F$2:$F$500="Выдана")+($F$2:$F$500="Возвращена")))&gt;1),"Дубль",""))</f>
        <v/>
      </c>
      <c r="I448" s="13">
        <f>IF(OR(B448="",COUNT(D448:E448)&lt;2,E448&lt;D448),"",IF(Настройки!$B$6=Настройки!$M$3,INT(E448)-INT(D448)+1,ROUNDUP(ROUND((E448-D448)*24,2)/24,0)))</f>
        <v/>
      </c>
      <c r="J448" s="14" t="n"/>
      <c r="K448" s="15">
        <f>IF(OR(I448="",J448=""),"",IF(F448="Отменена",0,ROUND(I448*J448,2)))</f>
        <v/>
      </c>
      <c r="L448" s="15">
        <f>IF(K448="","",ROUND(K448*Настройки!$B$5,2))</f>
        <v/>
      </c>
      <c r="M448" s="15">
        <f>IF(A448="","",SUMIFS(Начисления!$M$2:$M$1000,Начисления!$F$2:$F$1000,A448))</f>
        <v/>
      </c>
      <c r="N448" s="15">
        <f>IF(A448="","",SUM(K448:M448))</f>
        <v/>
      </c>
      <c r="O448" s="14" t="n"/>
      <c r="P448" s="15">
        <f>IF(A448="","",N448-O448)</f>
        <v/>
      </c>
      <c r="Q448" s="10" t="n"/>
      <c r="R448" s="10" t="n"/>
      <c r="S448" s="16">
        <f>IF(ISNUMBER(D448),D448+TIME(3,0,0),"")</f>
        <v/>
      </c>
      <c r="T448" s="10" t="n"/>
      <c r="U448" s="17">
        <f>IF(OR(B448="",COUNT(D448:E448)&lt;2,E448&lt;D448,F448="Отменена"),0,MAX(0,MIN(E448,Сводка!$B$4)-MAX(D448,Сводка!$B$2)))</f>
        <v/>
      </c>
    </row>
    <row r="449">
      <c r="A449" s="9" t="n"/>
      <c r="B449" s="10" t="n"/>
      <c r="C449" s="10" t="n"/>
      <c r="D449" s="11" t="n"/>
      <c r="E449" s="11" t="n"/>
      <c r="F449" s="10" t="n"/>
      <c r="G449" s="12">
        <f>IF(B449="","",IF(OR(COUNT(D449:E449)&lt;2,E449&lt;D449),"Проверьте даты",IF(OR(F449="Отменена",F449="Возвращена"),"",IF(SUMPRODUCT(($B$2:$B$500=B449)*($D$2:$D$500&lt;=E449)*($E$2:$E$500&gt;=D449)*($F$2:$F$500&lt;&gt;"Отменена")*($F$2:$F$500&lt;&gt;"Возвращена"))&gt;1,"Пересечение","ОК"))))</f>
        <v/>
      </c>
      <c r="H449" s="12">
        <f>IF(OR(B449="",D449=""),"",IF(AND(OR(F449="Выдана",F449="Возвращена"),SUMPRODUCT(($B$2:$B$500=B449)*($D$2:$D$500=D449)*(($F$2:$F$500="Выдана")+($F$2:$F$500="Возвращена")))&gt;1),"Дубль",""))</f>
        <v/>
      </c>
      <c r="I449" s="13">
        <f>IF(OR(B449="",COUNT(D449:E449)&lt;2,E449&lt;D449),"",IF(Настройки!$B$6=Настройки!$M$3,INT(E449)-INT(D449)+1,ROUNDUP(ROUND((E449-D449)*24,2)/24,0)))</f>
        <v/>
      </c>
      <c r="J449" s="14" t="n"/>
      <c r="K449" s="15">
        <f>IF(OR(I449="",J449=""),"",IF(F449="Отменена",0,ROUND(I449*J449,2)))</f>
        <v/>
      </c>
      <c r="L449" s="15">
        <f>IF(K449="","",ROUND(K449*Настройки!$B$5,2))</f>
        <v/>
      </c>
      <c r="M449" s="15">
        <f>IF(A449="","",SUMIFS(Начисления!$M$2:$M$1000,Начисления!$F$2:$F$1000,A449))</f>
        <v/>
      </c>
      <c r="N449" s="15">
        <f>IF(A449="","",SUM(K449:M449))</f>
        <v/>
      </c>
      <c r="O449" s="14" t="n"/>
      <c r="P449" s="15">
        <f>IF(A449="","",N449-O449)</f>
        <v/>
      </c>
      <c r="Q449" s="10" t="n"/>
      <c r="R449" s="10" t="n"/>
      <c r="S449" s="16">
        <f>IF(ISNUMBER(D449),D449+TIME(3,0,0),"")</f>
        <v/>
      </c>
      <c r="T449" s="10" t="n"/>
      <c r="U449" s="17">
        <f>IF(OR(B449="",COUNT(D449:E449)&lt;2,E449&lt;D449,F449="Отменена"),0,MAX(0,MIN(E449,Сводка!$B$4)-MAX(D449,Сводка!$B$2)))</f>
        <v/>
      </c>
    </row>
    <row r="450">
      <c r="A450" s="9" t="n"/>
      <c r="B450" s="10" t="n"/>
      <c r="C450" s="10" t="n"/>
      <c r="D450" s="11" t="n"/>
      <c r="E450" s="11" t="n"/>
      <c r="F450" s="10" t="n"/>
      <c r="G450" s="12">
        <f>IF(B450="","",IF(OR(COUNT(D450:E450)&lt;2,E450&lt;D450),"Проверьте даты",IF(OR(F450="Отменена",F450="Возвращена"),"",IF(SUMPRODUCT(($B$2:$B$500=B450)*($D$2:$D$500&lt;=E450)*($E$2:$E$500&gt;=D450)*($F$2:$F$500&lt;&gt;"Отменена")*($F$2:$F$500&lt;&gt;"Возвращена"))&gt;1,"Пересечение","ОК"))))</f>
        <v/>
      </c>
      <c r="H450" s="12">
        <f>IF(OR(B450="",D450=""),"",IF(AND(OR(F450="Выдана",F450="Возвращена"),SUMPRODUCT(($B$2:$B$500=B450)*($D$2:$D$500=D450)*(($F$2:$F$500="Выдана")+($F$2:$F$500="Возвращена")))&gt;1),"Дубль",""))</f>
        <v/>
      </c>
      <c r="I450" s="13">
        <f>IF(OR(B450="",COUNT(D450:E450)&lt;2,E450&lt;D450),"",IF(Настройки!$B$6=Настройки!$M$3,INT(E450)-INT(D450)+1,ROUNDUP(ROUND((E450-D450)*24,2)/24,0)))</f>
        <v/>
      </c>
      <c r="J450" s="14" t="n"/>
      <c r="K450" s="15">
        <f>IF(OR(I450="",J450=""),"",IF(F450="Отменена",0,ROUND(I450*J450,2)))</f>
        <v/>
      </c>
      <c r="L450" s="15">
        <f>IF(K450="","",ROUND(K450*Настройки!$B$5,2))</f>
        <v/>
      </c>
      <c r="M450" s="15">
        <f>IF(A450="","",SUMIFS(Начисления!$M$2:$M$1000,Начисления!$F$2:$F$1000,A450))</f>
        <v/>
      </c>
      <c r="N450" s="15">
        <f>IF(A450="","",SUM(K450:M450))</f>
        <v/>
      </c>
      <c r="O450" s="14" t="n"/>
      <c r="P450" s="15">
        <f>IF(A450="","",N450-O450)</f>
        <v/>
      </c>
      <c r="Q450" s="10" t="n"/>
      <c r="R450" s="10" t="n"/>
      <c r="S450" s="16">
        <f>IF(ISNUMBER(D450),D450+TIME(3,0,0),"")</f>
        <v/>
      </c>
      <c r="T450" s="10" t="n"/>
      <c r="U450" s="17">
        <f>IF(OR(B450="",COUNT(D450:E450)&lt;2,E450&lt;D450,F450="Отменена"),0,MAX(0,MIN(E450,Сводка!$B$4)-MAX(D450,Сводка!$B$2)))</f>
        <v/>
      </c>
    </row>
    <row r="451">
      <c r="A451" s="9" t="n"/>
      <c r="B451" s="10" t="n"/>
      <c r="C451" s="10" t="n"/>
      <c r="D451" s="11" t="n"/>
      <c r="E451" s="11" t="n"/>
      <c r="F451" s="10" t="n"/>
      <c r="G451" s="12">
        <f>IF(B451="","",IF(OR(COUNT(D451:E451)&lt;2,E451&lt;D451),"Проверьте даты",IF(OR(F451="Отменена",F451="Возвращена"),"",IF(SUMPRODUCT(($B$2:$B$500=B451)*($D$2:$D$500&lt;=E451)*($E$2:$E$500&gt;=D451)*($F$2:$F$500&lt;&gt;"Отменена")*($F$2:$F$500&lt;&gt;"Возвращена"))&gt;1,"Пересечение","ОК"))))</f>
        <v/>
      </c>
      <c r="H451" s="12">
        <f>IF(OR(B451="",D451=""),"",IF(AND(OR(F451="Выдана",F451="Возвращена"),SUMPRODUCT(($B$2:$B$500=B451)*($D$2:$D$500=D451)*(($F$2:$F$500="Выдана")+($F$2:$F$500="Возвращена")))&gt;1),"Дубль",""))</f>
        <v/>
      </c>
      <c r="I451" s="13">
        <f>IF(OR(B451="",COUNT(D451:E451)&lt;2,E451&lt;D451),"",IF(Настройки!$B$6=Настройки!$M$3,INT(E451)-INT(D451)+1,ROUNDUP(ROUND((E451-D451)*24,2)/24,0)))</f>
        <v/>
      </c>
      <c r="J451" s="14" t="n"/>
      <c r="K451" s="15">
        <f>IF(OR(I451="",J451=""),"",IF(F451="Отменена",0,ROUND(I451*J451,2)))</f>
        <v/>
      </c>
      <c r="L451" s="15">
        <f>IF(K451="","",ROUND(K451*Настройки!$B$5,2))</f>
        <v/>
      </c>
      <c r="M451" s="15">
        <f>IF(A451="","",SUMIFS(Начисления!$M$2:$M$1000,Начисления!$F$2:$F$1000,A451))</f>
        <v/>
      </c>
      <c r="N451" s="15">
        <f>IF(A451="","",SUM(K451:M451))</f>
        <v/>
      </c>
      <c r="O451" s="14" t="n"/>
      <c r="P451" s="15">
        <f>IF(A451="","",N451-O451)</f>
        <v/>
      </c>
      <c r="Q451" s="10" t="n"/>
      <c r="R451" s="10" t="n"/>
      <c r="S451" s="16">
        <f>IF(ISNUMBER(D451),D451+TIME(3,0,0),"")</f>
        <v/>
      </c>
      <c r="T451" s="10" t="n"/>
      <c r="U451" s="17">
        <f>IF(OR(B451="",COUNT(D451:E451)&lt;2,E451&lt;D451,F451="Отменена"),0,MAX(0,MIN(E451,Сводка!$B$4)-MAX(D451,Сводка!$B$2)))</f>
        <v/>
      </c>
    </row>
    <row r="452">
      <c r="A452" s="9" t="n"/>
      <c r="B452" s="10" t="n"/>
      <c r="C452" s="10" t="n"/>
      <c r="D452" s="11" t="n"/>
      <c r="E452" s="11" t="n"/>
      <c r="F452" s="10" t="n"/>
      <c r="G452" s="12">
        <f>IF(B452="","",IF(OR(COUNT(D452:E452)&lt;2,E452&lt;D452),"Проверьте даты",IF(OR(F452="Отменена",F452="Возвращена"),"",IF(SUMPRODUCT(($B$2:$B$500=B452)*($D$2:$D$500&lt;=E452)*($E$2:$E$500&gt;=D452)*($F$2:$F$500&lt;&gt;"Отменена")*($F$2:$F$500&lt;&gt;"Возвращена"))&gt;1,"Пересечение","ОК"))))</f>
        <v/>
      </c>
      <c r="H452" s="12">
        <f>IF(OR(B452="",D452=""),"",IF(AND(OR(F452="Выдана",F452="Возвращена"),SUMPRODUCT(($B$2:$B$500=B452)*($D$2:$D$500=D452)*(($F$2:$F$500="Выдана")+($F$2:$F$500="Возвращена")))&gt;1),"Дубль",""))</f>
        <v/>
      </c>
      <c r="I452" s="13">
        <f>IF(OR(B452="",COUNT(D452:E452)&lt;2,E452&lt;D452),"",IF(Настройки!$B$6=Настройки!$M$3,INT(E452)-INT(D452)+1,ROUNDUP(ROUND((E452-D452)*24,2)/24,0)))</f>
        <v/>
      </c>
      <c r="J452" s="14" t="n"/>
      <c r="K452" s="15">
        <f>IF(OR(I452="",J452=""),"",IF(F452="Отменена",0,ROUND(I452*J452,2)))</f>
        <v/>
      </c>
      <c r="L452" s="15">
        <f>IF(K452="","",ROUND(K452*Настройки!$B$5,2))</f>
        <v/>
      </c>
      <c r="M452" s="15">
        <f>IF(A452="","",SUMIFS(Начисления!$M$2:$M$1000,Начисления!$F$2:$F$1000,A452))</f>
        <v/>
      </c>
      <c r="N452" s="15">
        <f>IF(A452="","",SUM(K452:M452))</f>
        <v/>
      </c>
      <c r="O452" s="14" t="n"/>
      <c r="P452" s="15">
        <f>IF(A452="","",N452-O452)</f>
        <v/>
      </c>
      <c r="Q452" s="10" t="n"/>
      <c r="R452" s="10" t="n"/>
      <c r="S452" s="16">
        <f>IF(ISNUMBER(D452),D452+TIME(3,0,0),"")</f>
        <v/>
      </c>
      <c r="T452" s="10" t="n"/>
      <c r="U452" s="17">
        <f>IF(OR(B452="",COUNT(D452:E452)&lt;2,E452&lt;D452,F452="Отменена"),0,MAX(0,MIN(E452,Сводка!$B$4)-MAX(D452,Сводка!$B$2)))</f>
        <v/>
      </c>
    </row>
    <row r="453">
      <c r="A453" s="9" t="n"/>
      <c r="B453" s="10" t="n"/>
      <c r="C453" s="10" t="n"/>
      <c r="D453" s="11" t="n"/>
      <c r="E453" s="11" t="n"/>
      <c r="F453" s="10" t="n"/>
      <c r="G453" s="12">
        <f>IF(B453="","",IF(OR(COUNT(D453:E453)&lt;2,E453&lt;D453),"Проверьте даты",IF(OR(F453="Отменена",F453="Возвращена"),"",IF(SUMPRODUCT(($B$2:$B$500=B453)*($D$2:$D$500&lt;=E453)*($E$2:$E$500&gt;=D453)*($F$2:$F$500&lt;&gt;"Отменена")*($F$2:$F$500&lt;&gt;"Возвращена"))&gt;1,"Пересечение","ОК"))))</f>
        <v/>
      </c>
      <c r="H453" s="12">
        <f>IF(OR(B453="",D453=""),"",IF(AND(OR(F453="Выдана",F453="Возвращена"),SUMPRODUCT(($B$2:$B$500=B453)*($D$2:$D$500=D453)*(($F$2:$F$500="Выдана")+($F$2:$F$500="Возвращена")))&gt;1),"Дубль",""))</f>
        <v/>
      </c>
      <c r="I453" s="13">
        <f>IF(OR(B453="",COUNT(D453:E453)&lt;2,E453&lt;D453),"",IF(Настройки!$B$6=Настройки!$M$3,INT(E453)-INT(D453)+1,ROUNDUP(ROUND((E453-D453)*24,2)/24,0)))</f>
        <v/>
      </c>
      <c r="J453" s="14" t="n"/>
      <c r="K453" s="15">
        <f>IF(OR(I453="",J453=""),"",IF(F453="Отменена",0,ROUND(I453*J453,2)))</f>
        <v/>
      </c>
      <c r="L453" s="15">
        <f>IF(K453="","",ROUND(K453*Настройки!$B$5,2))</f>
        <v/>
      </c>
      <c r="M453" s="15">
        <f>IF(A453="","",SUMIFS(Начисления!$M$2:$M$1000,Начисления!$F$2:$F$1000,A453))</f>
        <v/>
      </c>
      <c r="N453" s="15">
        <f>IF(A453="","",SUM(K453:M453))</f>
        <v/>
      </c>
      <c r="O453" s="14" t="n"/>
      <c r="P453" s="15">
        <f>IF(A453="","",N453-O453)</f>
        <v/>
      </c>
      <c r="Q453" s="10" t="n"/>
      <c r="R453" s="10" t="n"/>
      <c r="S453" s="16">
        <f>IF(ISNUMBER(D453),D453+TIME(3,0,0),"")</f>
        <v/>
      </c>
      <c r="T453" s="10" t="n"/>
      <c r="U453" s="17">
        <f>IF(OR(B453="",COUNT(D453:E453)&lt;2,E453&lt;D453,F453="Отменена"),0,MAX(0,MIN(E453,Сводка!$B$4)-MAX(D453,Сводка!$B$2)))</f>
        <v/>
      </c>
    </row>
    <row r="454">
      <c r="A454" s="9" t="n"/>
      <c r="B454" s="10" t="n"/>
      <c r="C454" s="10" t="n"/>
      <c r="D454" s="11" t="n"/>
      <c r="E454" s="11" t="n"/>
      <c r="F454" s="10" t="n"/>
      <c r="G454" s="12">
        <f>IF(B454="","",IF(OR(COUNT(D454:E454)&lt;2,E454&lt;D454),"Проверьте даты",IF(OR(F454="Отменена",F454="Возвращена"),"",IF(SUMPRODUCT(($B$2:$B$500=B454)*($D$2:$D$500&lt;=E454)*($E$2:$E$500&gt;=D454)*($F$2:$F$500&lt;&gt;"Отменена")*($F$2:$F$500&lt;&gt;"Возвращена"))&gt;1,"Пересечение","ОК"))))</f>
        <v/>
      </c>
      <c r="H454" s="12">
        <f>IF(OR(B454="",D454=""),"",IF(AND(OR(F454="Выдана",F454="Возвращена"),SUMPRODUCT(($B$2:$B$500=B454)*($D$2:$D$500=D454)*(($F$2:$F$500="Выдана")+($F$2:$F$500="Возвращена")))&gt;1),"Дубль",""))</f>
        <v/>
      </c>
      <c r="I454" s="13">
        <f>IF(OR(B454="",COUNT(D454:E454)&lt;2,E454&lt;D454),"",IF(Настройки!$B$6=Настройки!$M$3,INT(E454)-INT(D454)+1,ROUNDUP(ROUND((E454-D454)*24,2)/24,0)))</f>
        <v/>
      </c>
      <c r="J454" s="14" t="n"/>
      <c r="K454" s="15">
        <f>IF(OR(I454="",J454=""),"",IF(F454="Отменена",0,ROUND(I454*J454,2)))</f>
        <v/>
      </c>
      <c r="L454" s="15">
        <f>IF(K454="","",ROUND(K454*Настройки!$B$5,2))</f>
        <v/>
      </c>
      <c r="M454" s="15">
        <f>IF(A454="","",SUMIFS(Начисления!$M$2:$M$1000,Начисления!$F$2:$F$1000,A454))</f>
        <v/>
      </c>
      <c r="N454" s="15">
        <f>IF(A454="","",SUM(K454:M454))</f>
        <v/>
      </c>
      <c r="O454" s="14" t="n"/>
      <c r="P454" s="15">
        <f>IF(A454="","",N454-O454)</f>
        <v/>
      </c>
      <c r="Q454" s="10" t="n"/>
      <c r="R454" s="10" t="n"/>
      <c r="S454" s="16">
        <f>IF(ISNUMBER(D454),D454+TIME(3,0,0),"")</f>
        <v/>
      </c>
      <c r="T454" s="10" t="n"/>
      <c r="U454" s="17">
        <f>IF(OR(B454="",COUNT(D454:E454)&lt;2,E454&lt;D454,F454="Отменена"),0,MAX(0,MIN(E454,Сводка!$B$4)-MAX(D454,Сводка!$B$2)))</f>
        <v/>
      </c>
    </row>
    <row r="455">
      <c r="A455" s="9" t="n"/>
      <c r="B455" s="10" t="n"/>
      <c r="C455" s="10" t="n"/>
      <c r="D455" s="11" t="n"/>
      <c r="E455" s="11" t="n"/>
      <c r="F455" s="10" t="n"/>
      <c r="G455" s="12">
        <f>IF(B455="","",IF(OR(COUNT(D455:E455)&lt;2,E455&lt;D455),"Проверьте даты",IF(OR(F455="Отменена",F455="Возвращена"),"",IF(SUMPRODUCT(($B$2:$B$500=B455)*($D$2:$D$500&lt;=E455)*($E$2:$E$500&gt;=D455)*($F$2:$F$500&lt;&gt;"Отменена")*($F$2:$F$500&lt;&gt;"Возвращена"))&gt;1,"Пересечение","ОК"))))</f>
        <v/>
      </c>
      <c r="H455" s="12">
        <f>IF(OR(B455="",D455=""),"",IF(AND(OR(F455="Выдана",F455="Возвращена"),SUMPRODUCT(($B$2:$B$500=B455)*($D$2:$D$500=D455)*(($F$2:$F$500="Выдана")+($F$2:$F$500="Возвращена")))&gt;1),"Дубль",""))</f>
        <v/>
      </c>
      <c r="I455" s="13">
        <f>IF(OR(B455="",COUNT(D455:E455)&lt;2,E455&lt;D455),"",IF(Настройки!$B$6=Настройки!$M$3,INT(E455)-INT(D455)+1,ROUNDUP(ROUND((E455-D455)*24,2)/24,0)))</f>
        <v/>
      </c>
      <c r="J455" s="14" t="n"/>
      <c r="K455" s="15">
        <f>IF(OR(I455="",J455=""),"",IF(F455="Отменена",0,ROUND(I455*J455,2)))</f>
        <v/>
      </c>
      <c r="L455" s="15">
        <f>IF(K455="","",ROUND(K455*Настройки!$B$5,2))</f>
        <v/>
      </c>
      <c r="M455" s="15">
        <f>IF(A455="","",SUMIFS(Начисления!$M$2:$M$1000,Начисления!$F$2:$F$1000,A455))</f>
        <v/>
      </c>
      <c r="N455" s="15">
        <f>IF(A455="","",SUM(K455:M455))</f>
        <v/>
      </c>
      <c r="O455" s="14" t="n"/>
      <c r="P455" s="15">
        <f>IF(A455="","",N455-O455)</f>
        <v/>
      </c>
      <c r="Q455" s="10" t="n"/>
      <c r="R455" s="10" t="n"/>
      <c r="S455" s="16">
        <f>IF(ISNUMBER(D455),D455+TIME(3,0,0),"")</f>
        <v/>
      </c>
      <c r="T455" s="10" t="n"/>
      <c r="U455" s="17">
        <f>IF(OR(B455="",COUNT(D455:E455)&lt;2,E455&lt;D455,F455="Отменена"),0,MAX(0,MIN(E455,Сводка!$B$4)-MAX(D455,Сводка!$B$2)))</f>
        <v/>
      </c>
    </row>
    <row r="456">
      <c r="A456" s="9" t="n"/>
      <c r="B456" s="10" t="n"/>
      <c r="C456" s="10" t="n"/>
      <c r="D456" s="11" t="n"/>
      <c r="E456" s="11" t="n"/>
      <c r="F456" s="10" t="n"/>
      <c r="G456" s="12">
        <f>IF(B456="","",IF(OR(COUNT(D456:E456)&lt;2,E456&lt;D456),"Проверьте даты",IF(OR(F456="Отменена",F456="Возвращена"),"",IF(SUMPRODUCT(($B$2:$B$500=B456)*($D$2:$D$500&lt;=E456)*($E$2:$E$500&gt;=D456)*($F$2:$F$500&lt;&gt;"Отменена")*($F$2:$F$500&lt;&gt;"Возвращена"))&gt;1,"Пересечение","ОК"))))</f>
        <v/>
      </c>
      <c r="H456" s="12">
        <f>IF(OR(B456="",D456=""),"",IF(AND(OR(F456="Выдана",F456="Возвращена"),SUMPRODUCT(($B$2:$B$500=B456)*($D$2:$D$500=D456)*(($F$2:$F$500="Выдана")+($F$2:$F$500="Возвращена")))&gt;1),"Дубль",""))</f>
        <v/>
      </c>
      <c r="I456" s="13">
        <f>IF(OR(B456="",COUNT(D456:E456)&lt;2,E456&lt;D456),"",IF(Настройки!$B$6=Настройки!$M$3,INT(E456)-INT(D456)+1,ROUNDUP(ROUND((E456-D456)*24,2)/24,0)))</f>
        <v/>
      </c>
      <c r="J456" s="14" t="n"/>
      <c r="K456" s="15">
        <f>IF(OR(I456="",J456=""),"",IF(F456="Отменена",0,ROUND(I456*J456,2)))</f>
        <v/>
      </c>
      <c r="L456" s="15">
        <f>IF(K456="","",ROUND(K456*Настройки!$B$5,2))</f>
        <v/>
      </c>
      <c r="M456" s="15">
        <f>IF(A456="","",SUMIFS(Начисления!$M$2:$M$1000,Начисления!$F$2:$F$1000,A456))</f>
        <v/>
      </c>
      <c r="N456" s="15">
        <f>IF(A456="","",SUM(K456:M456))</f>
        <v/>
      </c>
      <c r="O456" s="14" t="n"/>
      <c r="P456" s="15">
        <f>IF(A456="","",N456-O456)</f>
        <v/>
      </c>
      <c r="Q456" s="10" t="n"/>
      <c r="R456" s="10" t="n"/>
      <c r="S456" s="16">
        <f>IF(ISNUMBER(D456),D456+TIME(3,0,0),"")</f>
        <v/>
      </c>
      <c r="T456" s="10" t="n"/>
      <c r="U456" s="17">
        <f>IF(OR(B456="",COUNT(D456:E456)&lt;2,E456&lt;D456,F456="Отменена"),0,MAX(0,MIN(E456,Сводка!$B$4)-MAX(D456,Сводка!$B$2)))</f>
        <v/>
      </c>
    </row>
    <row r="457">
      <c r="A457" s="9" t="n"/>
      <c r="B457" s="10" t="n"/>
      <c r="C457" s="10" t="n"/>
      <c r="D457" s="11" t="n"/>
      <c r="E457" s="11" t="n"/>
      <c r="F457" s="10" t="n"/>
      <c r="G457" s="12">
        <f>IF(B457="","",IF(OR(COUNT(D457:E457)&lt;2,E457&lt;D457),"Проверьте даты",IF(OR(F457="Отменена",F457="Возвращена"),"",IF(SUMPRODUCT(($B$2:$B$500=B457)*($D$2:$D$500&lt;=E457)*($E$2:$E$500&gt;=D457)*($F$2:$F$500&lt;&gt;"Отменена")*($F$2:$F$500&lt;&gt;"Возвращена"))&gt;1,"Пересечение","ОК"))))</f>
        <v/>
      </c>
      <c r="H457" s="12">
        <f>IF(OR(B457="",D457=""),"",IF(AND(OR(F457="Выдана",F457="Возвращена"),SUMPRODUCT(($B$2:$B$500=B457)*($D$2:$D$500=D457)*(($F$2:$F$500="Выдана")+($F$2:$F$500="Возвращена")))&gt;1),"Дубль",""))</f>
        <v/>
      </c>
      <c r="I457" s="13">
        <f>IF(OR(B457="",COUNT(D457:E457)&lt;2,E457&lt;D457),"",IF(Настройки!$B$6=Настройки!$M$3,INT(E457)-INT(D457)+1,ROUNDUP(ROUND((E457-D457)*24,2)/24,0)))</f>
        <v/>
      </c>
      <c r="J457" s="14" t="n"/>
      <c r="K457" s="15">
        <f>IF(OR(I457="",J457=""),"",IF(F457="Отменена",0,ROUND(I457*J457,2)))</f>
        <v/>
      </c>
      <c r="L457" s="15">
        <f>IF(K457="","",ROUND(K457*Настройки!$B$5,2))</f>
        <v/>
      </c>
      <c r="M457" s="15">
        <f>IF(A457="","",SUMIFS(Начисления!$M$2:$M$1000,Начисления!$F$2:$F$1000,A457))</f>
        <v/>
      </c>
      <c r="N457" s="15">
        <f>IF(A457="","",SUM(K457:M457))</f>
        <v/>
      </c>
      <c r="O457" s="14" t="n"/>
      <c r="P457" s="15">
        <f>IF(A457="","",N457-O457)</f>
        <v/>
      </c>
      <c r="Q457" s="10" t="n"/>
      <c r="R457" s="10" t="n"/>
      <c r="S457" s="16">
        <f>IF(ISNUMBER(D457),D457+TIME(3,0,0),"")</f>
        <v/>
      </c>
      <c r="T457" s="10" t="n"/>
      <c r="U457" s="17">
        <f>IF(OR(B457="",COUNT(D457:E457)&lt;2,E457&lt;D457,F457="Отменена"),0,MAX(0,MIN(E457,Сводка!$B$4)-MAX(D457,Сводка!$B$2)))</f>
        <v/>
      </c>
    </row>
    <row r="458">
      <c r="A458" s="9" t="n"/>
      <c r="B458" s="10" t="n"/>
      <c r="C458" s="10" t="n"/>
      <c r="D458" s="11" t="n"/>
      <c r="E458" s="11" t="n"/>
      <c r="F458" s="10" t="n"/>
      <c r="G458" s="12">
        <f>IF(B458="","",IF(OR(COUNT(D458:E458)&lt;2,E458&lt;D458),"Проверьте даты",IF(OR(F458="Отменена",F458="Возвращена"),"",IF(SUMPRODUCT(($B$2:$B$500=B458)*($D$2:$D$500&lt;=E458)*($E$2:$E$500&gt;=D458)*($F$2:$F$500&lt;&gt;"Отменена")*($F$2:$F$500&lt;&gt;"Возвращена"))&gt;1,"Пересечение","ОК"))))</f>
        <v/>
      </c>
      <c r="H458" s="12">
        <f>IF(OR(B458="",D458=""),"",IF(AND(OR(F458="Выдана",F458="Возвращена"),SUMPRODUCT(($B$2:$B$500=B458)*($D$2:$D$500=D458)*(($F$2:$F$500="Выдана")+($F$2:$F$500="Возвращена")))&gt;1),"Дубль",""))</f>
        <v/>
      </c>
      <c r="I458" s="13">
        <f>IF(OR(B458="",COUNT(D458:E458)&lt;2,E458&lt;D458),"",IF(Настройки!$B$6=Настройки!$M$3,INT(E458)-INT(D458)+1,ROUNDUP(ROUND((E458-D458)*24,2)/24,0)))</f>
        <v/>
      </c>
      <c r="J458" s="14" t="n"/>
      <c r="K458" s="15">
        <f>IF(OR(I458="",J458=""),"",IF(F458="Отменена",0,ROUND(I458*J458,2)))</f>
        <v/>
      </c>
      <c r="L458" s="15">
        <f>IF(K458="","",ROUND(K458*Настройки!$B$5,2))</f>
        <v/>
      </c>
      <c r="M458" s="15">
        <f>IF(A458="","",SUMIFS(Начисления!$M$2:$M$1000,Начисления!$F$2:$F$1000,A458))</f>
        <v/>
      </c>
      <c r="N458" s="15">
        <f>IF(A458="","",SUM(K458:M458))</f>
        <v/>
      </c>
      <c r="O458" s="14" t="n"/>
      <c r="P458" s="15">
        <f>IF(A458="","",N458-O458)</f>
        <v/>
      </c>
      <c r="Q458" s="10" t="n"/>
      <c r="R458" s="10" t="n"/>
      <c r="S458" s="16">
        <f>IF(ISNUMBER(D458),D458+TIME(3,0,0),"")</f>
        <v/>
      </c>
      <c r="T458" s="10" t="n"/>
      <c r="U458" s="17">
        <f>IF(OR(B458="",COUNT(D458:E458)&lt;2,E458&lt;D458,F458="Отменена"),0,MAX(0,MIN(E458,Сводка!$B$4)-MAX(D458,Сводка!$B$2)))</f>
        <v/>
      </c>
    </row>
    <row r="459">
      <c r="A459" s="9" t="n"/>
      <c r="B459" s="10" t="n"/>
      <c r="C459" s="10" t="n"/>
      <c r="D459" s="11" t="n"/>
      <c r="E459" s="11" t="n"/>
      <c r="F459" s="10" t="n"/>
      <c r="G459" s="12">
        <f>IF(B459="","",IF(OR(COUNT(D459:E459)&lt;2,E459&lt;D459),"Проверьте даты",IF(OR(F459="Отменена",F459="Возвращена"),"",IF(SUMPRODUCT(($B$2:$B$500=B459)*($D$2:$D$500&lt;=E459)*($E$2:$E$500&gt;=D459)*($F$2:$F$500&lt;&gt;"Отменена")*($F$2:$F$500&lt;&gt;"Возвращена"))&gt;1,"Пересечение","ОК"))))</f>
        <v/>
      </c>
      <c r="H459" s="12">
        <f>IF(OR(B459="",D459=""),"",IF(AND(OR(F459="Выдана",F459="Возвращена"),SUMPRODUCT(($B$2:$B$500=B459)*($D$2:$D$500=D459)*(($F$2:$F$500="Выдана")+($F$2:$F$500="Возвращена")))&gt;1),"Дубль",""))</f>
        <v/>
      </c>
      <c r="I459" s="13">
        <f>IF(OR(B459="",COUNT(D459:E459)&lt;2,E459&lt;D459),"",IF(Настройки!$B$6=Настройки!$M$3,INT(E459)-INT(D459)+1,ROUNDUP(ROUND((E459-D459)*24,2)/24,0)))</f>
        <v/>
      </c>
      <c r="J459" s="14" t="n"/>
      <c r="K459" s="15">
        <f>IF(OR(I459="",J459=""),"",IF(F459="Отменена",0,ROUND(I459*J459,2)))</f>
        <v/>
      </c>
      <c r="L459" s="15">
        <f>IF(K459="","",ROUND(K459*Настройки!$B$5,2))</f>
        <v/>
      </c>
      <c r="M459" s="15">
        <f>IF(A459="","",SUMIFS(Начисления!$M$2:$M$1000,Начисления!$F$2:$F$1000,A459))</f>
        <v/>
      </c>
      <c r="N459" s="15">
        <f>IF(A459="","",SUM(K459:M459))</f>
        <v/>
      </c>
      <c r="O459" s="14" t="n"/>
      <c r="P459" s="15">
        <f>IF(A459="","",N459-O459)</f>
        <v/>
      </c>
      <c r="Q459" s="10" t="n"/>
      <c r="R459" s="10" t="n"/>
      <c r="S459" s="16">
        <f>IF(ISNUMBER(D459),D459+TIME(3,0,0),"")</f>
        <v/>
      </c>
      <c r="T459" s="10" t="n"/>
      <c r="U459" s="17">
        <f>IF(OR(B459="",COUNT(D459:E459)&lt;2,E459&lt;D459,F459="Отменена"),0,MAX(0,MIN(E459,Сводка!$B$4)-MAX(D459,Сводка!$B$2)))</f>
        <v/>
      </c>
    </row>
    <row r="460">
      <c r="A460" s="9" t="n"/>
      <c r="B460" s="10" t="n"/>
      <c r="C460" s="10" t="n"/>
      <c r="D460" s="11" t="n"/>
      <c r="E460" s="11" t="n"/>
      <c r="F460" s="10" t="n"/>
      <c r="G460" s="12">
        <f>IF(B460="","",IF(OR(COUNT(D460:E460)&lt;2,E460&lt;D460),"Проверьте даты",IF(OR(F460="Отменена",F460="Возвращена"),"",IF(SUMPRODUCT(($B$2:$B$500=B460)*($D$2:$D$500&lt;=E460)*($E$2:$E$500&gt;=D460)*($F$2:$F$500&lt;&gt;"Отменена")*($F$2:$F$500&lt;&gt;"Возвращена"))&gt;1,"Пересечение","ОК"))))</f>
        <v/>
      </c>
      <c r="H460" s="12">
        <f>IF(OR(B460="",D460=""),"",IF(AND(OR(F460="Выдана",F460="Возвращена"),SUMPRODUCT(($B$2:$B$500=B460)*($D$2:$D$500=D460)*(($F$2:$F$500="Выдана")+($F$2:$F$500="Возвращена")))&gt;1),"Дубль",""))</f>
        <v/>
      </c>
      <c r="I460" s="13">
        <f>IF(OR(B460="",COUNT(D460:E460)&lt;2,E460&lt;D460),"",IF(Настройки!$B$6=Настройки!$M$3,INT(E460)-INT(D460)+1,ROUNDUP(ROUND((E460-D460)*24,2)/24,0)))</f>
        <v/>
      </c>
      <c r="J460" s="14" t="n"/>
      <c r="K460" s="15">
        <f>IF(OR(I460="",J460=""),"",IF(F460="Отменена",0,ROUND(I460*J460,2)))</f>
        <v/>
      </c>
      <c r="L460" s="15">
        <f>IF(K460="","",ROUND(K460*Настройки!$B$5,2))</f>
        <v/>
      </c>
      <c r="M460" s="15">
        <f>IF(A460="","",SUMIFS(Начисления!$M$2:$M$1000,Начисления!$F$2:$F$1000,A460))</f>
        <v/>
      </c>
      <c r="N460" s="15">
        <f>IF(A460="","",SUM(K460:M460))</f>
        <v/>
      </c>
      <c r="O460" s="14" t="n"/>
      <c r="P460" s="15">
        <f>IF(A460="","",N460-O460)</f>
        <v/>
      </c>
      <c r="Q460" s="10" t="n"/>
      <c r="R460" s="10" t="n"/>
      <c r="S460" s="16">
        <f>IF(ISNUMBER(D460),D460+TIME(3,0,0),"")</f>
        <v/>
      </c>
      <c r="T460" s="10" t="n"/>
      <c r="U460" s="17">
        <f>IF(OR(B460="",COUNT(D460:E460)&lt;2,E460&lt;D460,F460="Отменена"),0,MAX(0,MIN(E460,Сводка!$B$4)-MAX(D460,Сводка!$B$2)))</f>
        <v/>
      </c>
    </row>
    <row r="461">
      <c r="A461" s="9" t="n"/>
      <c r="B461" s="10" t="n"/>
      <c r="C461" s="10" t="n"/>
      <c r="D461" s="11" t="n"/>
      <c r="E461" s="11" t="n"/>
      <c r="F461" s="10" t="n"/>
      <c r="G461" s="12">
        <f>IF(B461="","",IF(OR(COUNT(D461:E461)&lt;2,E461&lt;D461),"Проверьте даты",IF(OR(F461="Отменена",F461="Возвращена"),"",IF(SUMPRODUCT(($B$2:$B$500=B461)*($D$2:$D$500&lt;=E461)*($E$2:$E$500&gt;=D461)*($F$2:$F$500&lt;&gt;"Отменена")*($F$2:$F$500&lt;&gt;"Возвращена"))&gt;1,"Пересечение","ОК"))))</f>
        <v/>
      </c>
      <c r="H461" s="12">
        <f>IF(OR(B461="",D461=""),"",IF(AND(OR(F461="Выдана",F461="Возвращена"),SUMPRODUCT(($B$2:$B$500=B461)*($D$2:$D$500=D461)*(($F$2:$F$500="Выдана")+($F$2:$F$500="Возвращена")))&gt;1),"Дубль",""))</f>
        <v/>
      </c>
      <c r="I461" s="13">
        <f>IF(OR(B461="",COUNT(D461:E461)&lt;2,E461&lt;D461),"",IF(Настройки!$B$6=Настройки!$M$3,INT(E461)-INT(D461)+1,ROUNDUP(ROUND((E461-D461)*24,2)/24,0)))</f>
        <v/>
      </c>
      <c r="J461" s="14" t="n"/>
      <c r="K461" s="15">
        <f>IF(OR(I461="",J461=""),"",IF(F461="Отменена",0,ROUND(I461*J461,2)))</f>
        <v/>
      </c>
      <c r="L461" s="15">
        <f>IF(K461="","",ROUND(K461*Настройки!$B$5,2))</f>
        <v/>
      </c>
      <c r="M461" s="15">
        <f>IF(A461="","",SUMIFS(Начисления!$M$2:$M$1000,Начисления!$F$2:$F$1000,A461))</f>
        <v/>
      </c>
      <c r="N461" s="15">
        <f>IF(A461="","",SUM(K461:M461))</f>
        <v/>
      </c>
      <c r="O461" s="14" t="n"/>
      <c r="P461" s="15">
        <f>IF(A461="","",N461-O461)</f>
        <v/>
      </c>
      <c r="Q461" s="10" t="n"/>
      <c r="R461" s="10" t="n"/>
      <c r="S461" s="16">
        <f>IF(ISNUMBER(D461),D461+TIME(3,0,0),"")</f>
        <v/>
      </c>
      <c r="T461" s="10" t="n"/>
      <c r="U461" s="17">
        <f>IF(OR(B461="",COUNT(D461:E461)&lt;2,E461&lt;D461,F461="Отменена"),0,MAX(0,MIN(E461,Сводка!$B$4)-MAX(D461,Сводка!$B$2)))</f>
        <v/>
      </c>
    </row>
    <row r="462">
      <c r="A462" s="9" t="n"/>
      <c r="B462" s="10" t="n"/>
      <c r="C462" s="10" t="n"/>
      <c r="D462" s="11" t="n"/>
      <c r="E462" s="11" t="n"/>
      <c r="F462" s="10" t="n"/>
      <c r="G462" s="12">
        <f>IF(B462="","",IF(OR(COUNT(D462:E462)&lt;2,E462&lt;D462),"Проверьте даты",IF(OR(F462="Отменена",F462="Возвращена"),"",IF(SUMPRODUCT(($B$2:$B$500=B462)*($D$2:$D$500&lt;=E462)*($E$2:$E$500&gt;=D462)*($F$2:$F$500&lt;&gt;"Отменена")*($F$2:$F$500&lt;&gt;"Возвращена"))&gt;1,"Пересечение","ОК"))))</f>
        <v/>
      </c>
      <c r="H462" s="12">
        <f>IF(OR(B462="",D462=""),"",IF(AND(OR(F462="Выдана",F462="Возвращена"),SUMPRODUCT(($B$2:$B$500=B462)*($D$2:$D$500=D462)*(($F$2:$F$500="Выдана")+($F$2:$F$500="Возвращена")))&gt;1),"Дубль",""))</f>
        <v/>
      </c>
      <c r="I462" s="13">
        <f>IF(OR(B462="",COUNT(D462:E462)&lt;2,E462&lt;D462),"",IF(Настройки!$B$6=Настройки!$M$3,INT(E462)-INT(D462)+1,ROUNDUP(ROUND((E462-D462)*24,2)/24,0)))</f>
        <v/>
      </c>
      <c r="J462" s="14" t="n"/>
      <c r="K462" s="15">
        <f>IF(OR(I462="",J462=""),"",IF(F462="Отменена",0,ROUND(I462*J462,2)))</f>
        <v/>
      </c>
      <c r="L462" s="15">
        <f>IF(K462="","",ROUND(K462*Настройки!$B$5,2))</f>
        <v/>
      </c>
      <c r="M462" s="15">
        <f>IF(A462="","",SUMIFS(Начисления!$M$2:$M$1000,Начисления!$F$2:$F$1000,A462))</f>
        <v/>
      </c>
      <c r="N462" s="15">
        <f>IF(A462="","",SUM(K462:M462))</f>
        <v/>
      </c>
      <c r="O462" s="14" t="n"/>
      <c r="P462" s="15">
        <f>IF(A462="","",N462-O462)</f>
        <v/>
      </c>
      <c r="Q462" s="10" t="n"/>
      <c r="R462" s="10" t="n"/>
      <c r="S462" s="16">
        <f>IF(ISNUMBER(D462),D462+TIME(3,0,0),"")</f>
        <v/>
      </c>
      <c r="T462" s="10" t="n"/>
      <c r="U462" s="17">
        <f>IF(OR(B462="",COUNT(D462:E462)&lt;2,E462&lt;D462,F462="Отменена"),0,MAX(0,MIN(E462,Сводка!$B$4)-MAX(D462,Сводка!$B$2)))</f>
        <v/>
      </c>
    </row>
    <row r="463">
      <c r="A463" s="9" t="n"/>
      <c r="B463" s="10" t="n"/>
      <c r="C463" s="10" t="n"/>
      <c r="D463" s="11" t="n"/>
      <c r="E463" s="11" t="n"/>
      <c r="F463" s="10" t="n"/>
      <c r="G463" s="12">
        <f>IF(B463="","",IF(OR(COUNT(D463:E463)&lt;2,E463&lt;D463),"Проверьте даты",IF(OR(F463="Отменена",F463="Возвращена"),"",IF(SUMPRODUCT(($B$2:$B$500=B463)*($D$2:$D$500&lt;=E463)*($E$2:$E$500&gt;=D463)*($F$2:$F$500&lt;&gt;"Отменена")*($F$2:$F$500&lt;&gt;"Возвращена"))&gt;1,"Пересечение","ОК"))))</f>
        <v/>
      </c>
      <c r="H463" s="12">
        <f>IF(OR(B463="",D463=""),"",IF(AND(OR(F463="Выдана",F463="Возвращена"),SUMPRODUCT(($B$2:$B$500=B463)*($D$2:$D$500=D463)*(($F$2:$F$500="Выдана")+($F$2:$F$500="Возвращена")))&gt;1),"Дубль",""))</f>
        <v/>
      </c>
      <c r="I463" s="13">
        <f>IF(OR(B463="",COUNT(D463:E463)&lt;2,E463&lt;D463),"",IF(Настройки!$B$6=Настройки!$M$3,INT(E463)-INT(D463)+1,ROUNDUP(ROUND((E463-D463)*24,2)/24,0)))</f>
        <v/>
      </c>
      <c r="J463" s="14" t="n"/>
      <c r="K463" s="15">
        <f>IF(OR(I463="",J463=""),"",IF(F463="Отменена",0,ROUND(I463*J463,2)))</f>
        <v/>
      </c>
      <c r="L463" s="15">
        <f>IF(K463="","",ROUND(K463*Настройки!$B$5,2))</f>
        <v/>
      </c>
      <c r="M463" s="15">
        <f>IF(A463="","",SUMIFS(Начисления!$M$2:$M$1000,Начисления!$F$2:$F$1000,A463))</f>
        <v/>
      </c>
      <c r="N463" s="15">
        <f>IF(A463="","",SUM(K463:M463))</f>
        <v/>
      </c>
      <c r="O463" s="14" t="n"/>
      <c r="P463" s="15">
        <f>IF(A463="","",N463-O463)</f>
        <v/>
      </c>
      <c r="Q463" s="10" t="n"/>
      <c r="R463" s="10" t="n"/>
      <c r="S463" s="16">
        <f>IF(ISNUMBER(D463),D463+TIME(3,0,0),"")</f>
        <v/>
      </c>
      <c r="T463" s="10" t="n"/>
      <c r="U463" s="17">
        <f>IF(OR(B463="",COUNT(D463:E463)&lt;2,E463&lt;D463,F463="Отменена"),0,MAX(0,MIN(E463,Сводка!$B$4)-MAX(D463,Сводка!$B$2)))</f>
        <v/>
      </c>
    </row>
    <row r="464">
      <c r="A464" s="9" t="n"/>
      <c r="B464" s="10" t="n"/>
      <c r="C464" s="10" t="n"/>
      <c r="D464" s="11" t="n"/>
      <c r="E464" s="11" t="n"/>
      <c r="F464" s="10" t="n"/>
      <c r="G464" s="12">
        <f>IF(B464="","",IF(OR(COUNT(D464:E464)&lt;2,E464&lt;D464),"Проверьте даты",IF(OR(F464="Отменена",F464="Возвращена"),"",IF(SUMPRODUCT(($B$2:$B$500=B464)*($D$2:$D$500&lt;=E464)*($E$2:$E$500&gt;=D464)*($F$2:$F$500&lt;&gt;"Отменена")*($F$2:$F$500&lt;&gt;"Возвращена"))&gt;1,"Пересечение","ОК"))))</f>
        <v/>
      </c>
      <c r="H464" s="12">
        <f>IF(OR(B464="",D464=""),"",IF(AND(OR(F464="Выдана",F464="Возвращена"),SUMPRODUCT(($B$2:$B$500=B464)*($D$2:$D$500=D464)*(($F$2:$F$500="Выдана")+($F$2:$F$500="Возвращена")))&gt;1),"Дубль",""))</f>
        <v/>
      </c>
      <c r="I464" s="13">
        <f>IF(OR(B464="",COUNT(D464:E464)&lt;2,E464&lt;D464),"",IF(Настройки!$B$6=Настройки!$M$3,INT(E464)-INT(D464)+1,ROUNDUP(ROUND((E464-D464)*24,2)/24,0)))</f>
        <v/>
      </c>
      <c r="J464" s="14" t="n"/>
      <c r="K464" s="15">
        <f>IF(OR(I464="",J464=""),"",IF(F464="Отменена",0,ROUND(I464*J464,2)))</f>
        <v/>
      </c>
      <c r="L464" s="15">
        <f>IF(K464="","",ROUND(K464*Настройки!$B$5,2))</f>
        <v/>
      </c>
      <c r="M464" s="15">
        <f>IF(A464="","",SUMIFS(Начисления!$M$2:$M$1000,Начисления!$F$2:$F$1000,A464))</f>
        <v/>
      </c>
      <c r="N464" s="15">
        <f>IF(A464="","",SUM(K464:M464))</f>
        <v/>
      </c>
      <c r="O464" s="14" t="n"/>
      <c r="P464" s="15">
        <f>IF(A464="","",N464-O464)</f>
        <v/>
      </c>
      <c r="Q464" s="10" t="n"/>
      <c r="R464" s="10" t="n"/>
      <c r="S464" s="16">
        <f>IF(ISNUMBER(D464),D464+TIME(3,0,0),"")</f>
        <v/>
      </c>
      <c r="T464" s="10" t="n"/>
      <c r="U464" s="17">
        <f>IF(OR(B464="",COUNT(D464:E464)&lt;2,E464&lt;D464,F464="Отменена"),0,MAX(0,MIN(E464,Сводка!$B$4)-MAX(D464,Сводка!$B$2)))</f>
        <v/>
      </c>
    </row>
    <row r="465">
      <c r="A465" s="9" t="n"/>
      <c r="B465" s="10" t="n"/>
      <c r="C465" s="10" t="n"/>
      <c r="D465" s="11" t="n"/>
      <c r="E465" s="11" t="n"/>
      <c r="F465" s="10" t="n"/>
      <c r="G465" s="12">
        <f>IF(B465="","",IF(OR(COUNT(D465:E465)&lt;2,E465&lt;D465),"Проверьте даты",IF(OR(F465="Отменена",F465="Возвращена"),"",IF(SUMPRODUCT(($B$2:$B$500=B465)*($D$2:$D$500&lt;=E465)*($E$2:$E$500&gt;=D465)*($F$2:$F$500&lt;&gt;"Отменена")*($F$2:$F$500&lt;&gt;"Возвращена"))&gt;1,"Пересечение","ОК"))))</f>
        <v/>
      </c>
      <c r="H465" s="12">
        <f>IF(OR(B465="",D465=""),"",IF(AND(OR(F465="Выдана",F465="Возвращена"),SUMPRODUCT(($B$2:$B$500=B465)*($D$2:$D$500=D465)*(($F$2:$F$500="Выдана")+($F$2:$F$500="Возвращена")))&gt;1),"Дубль",""))</f>
        <v/>
      </c>
      <c r="I465" s="13">
        <f>IF(OR(B465="",COUNT(D465:E465)&lt;2,E465&lt;D465),"",IF(Настройки!$B$6=Настройки!$M$3,INT(E465)-INT(D465)+1,ROUNDUP(ROUND((E465-D465)*24,2)/24,0)))</f>
        <v/>
      </c>
      <c r="J465" s="14" t="n"/>
      <c r="K465" s="15">
        <f>IF(OR(I465="",J465=""),"",IF(F465="Отменена",0,ROUND(I465*J465,2)))</f>
        <v/>
      </c>
      <c r="L465" s="15">
        <f>IF(K465="","",ROUND(K465*Настройки!$B$5,2))</f>
        <v/>
      </c>
      <c r="M465" s="15">
        <f>IF(A465="","",SUMIFS(Начисления!$M$2:$M$1000,Начисления!$F$2:$F$1000,A465))</f>
        <v/>
      </c>
      <c r="N465" s="15">
        <f>IF(A465="","",SUM(K465:M465))</f>
        <v/>
      </c>
      <c r="O465" s="14" t="n"/>
      <c r="P465" s="15">
        <f>IF(A465="","",N465-O465)</f>
        <v/>
      </c>
      <c r="Q465" s="10" t="n"/>
      <c r="R465" s="10" t="n"/>
      <c r="S465" s="16">
        <f>IF(ISNUMBER(D465),D465+TIME(3,0,0),"")</f>
        <v/>
      </c>
      <c r="T465" s="10" t="n"/>
      <c r="U465" s="17">
        <f>IF(OR(B465="",COUNT(D465:E465)&lt;2,E465&lt;D465,F465="Отменена"),0,MAX(0,MIN(E465,Сводка!$B$4)-MAX(D465,Сводка!$B$2)))</f>
        <v/>
      </c>
    </row>
    <row r="466">
      <c r="A466" s="9" t="n"/>
      <c r="B466" s="10" t="n"/>
      <c r="C466" s="10" t="n"/>
      <c r="D466" s="11" t="n"/>
      <c r="E466" s="11" t="n"/>
      <c r="F466" s="10" t="n"/>
      <c r="G466" s="12">
        <f>IF(B466="","",IF(OR(COUNT(D466:E466)&lt;2,E466&lt;D466),"Проверьте даты",IF(OR(F466="Отменена",F466="Возвращена"),"",IF(SUMPRODUCT(($B$2:$B$500=B466)*($D$2:$D$500&lt;=E466)*($E$2:$E$500&gt;=D466)*($F$2:$F$500&lt;&gt;"Отменена")*($F$2:$F$500&lt;&gt;"Возвращена"))&gt;1,"Пересечение","ОК"))))</f>
        <v/>
      </c>
      <c r="H466" s="12">
        <f>IF(OR(B466="",D466=""),"",IF(AND(OR(F466="Выдана",F466="Возвращена"),SUMPRODUCT(($B$2:$B$500=B466)*($D$2:$D$500=D466)*(($F$2:$F$500="Выдана")+($F$2:$F$500="Возвращена")))&gt;1),"Дубль",""))</f>
        <v/>
      </c>
      <c r="I466" s="13">
        <f>IF(OR(B466="",COUNT(D466:E466)&lt;2,E466&lt;D466),"",IF(Настройки!$B$6=Настройки!$M$3,INT(E466)-INT(D466)+1,ROUNDUP(ROUND((E466-D466)*24,2)/24,0)))</f>
        <v/>
      </c>
      <c r="J466" s="14" t="n"/>
      <c r="K466" s="15">
        <f>IF(OR(I466="",J466=""),"",IF(F466="Отменена",0,ROUND(I466*J466,2)))</f>
        <v/>
      </c>
      <c r="L466" s="15">
        <f>IF(K466="","",ROUND(K466*Настройки!$B$5,2))</f>
        <v/>
      </c>
      <c r="M466" s="15">
        <f>IF(A466="","",SUMIFS(Начисления!$M$2:$M$1000,Начисления!$F$2:$F$1000,A466))</f>
        <v/>
      </c>
      <c r="N466" s="15">
        <f>IF(A466="","",SUM(K466:M466))</f>
        <v/>
      </c>
      <c r="O466" s="14" t="n"/>
      <c r="P466" s="15">
        <f>IF(A466="","",N466-O466)</f>
        <v/>
      </c>
      <c r="Q466" s="10" t="n"/>
      <c r="R466" s="10" t="n"/>
      <c r="S466" s="16">
        <f>IF(ISNUMBER(D466),D466+TIME(3,0,0),"")</f>
        <v/>
      </c>
      <c r="T466" s="10" t="n"/>
      <c r="U466" s="17">
        <f>IF(OR(B466="",COUNT(D466:E466)&lt;2,E466&lt;D466,F466="Отменена"),0,MAX(0,MIN(E466,Сводка!$B$4)-MAX(D466,Сводка!$B$2)))</f>
        <v/>
      </c>
    </row>
    <row r="467">
      <c r="A467" s="9" t="n"/>
      <c r="B467" s="10" t="n"/>
      <c r="C467" s="10" t="n"/>
      <c r="D467" s="11" t="n"/>
      <c r="E467" s="11" t="n"/>
      <c r="F467" s="10" t="n"/>
      <c r="G467" s="12">
        <f>IF(B467="","",IF(OR(COUNT(D467:E467)&lt;2,E467&lt;D467),"Проверьте даты",IF(OR(F467="Отменена",F467="Возвращена"),"",IF(SUMPRODUCT(($B$2:$B$500=B467)*($D$2:$D$500&lt;=E467)*($E$2:$E$500&gt;=D467)*($F$2:$F$500&lt;&gt;"Отменена")*($F$2:$F$500&lt;&gt;"Возвращена"))&gt;1,"Пересечение","ОК"))))</f>
        <v/>
      </c>
      <c r="H467" s="12">
        <f>IF(OR(B467="",D467=""),"",IF(AND(OR(F467="Выдана",F467="Возвращена"),SUMPRODUCT(($B$2:$B$500=B467)*($D$2:$D$500=D467)*(($F$2:$F$500="Выдана")+($F$2:$F$500="Возвращена")))&gt;1),"Дубль",""))</f>
        <v/>
      </c>
      <c r="I467" s="13">
        <f>IF(OR(B467="",COUNT(D467:E467)&lt;2,E467&lt;D467),"",IF(Настройки!$B$6=Настройки!$M$3,INT(E467)-INT(D467)+1,ROUNDUP(ROUND((E467-D467)*24,2)/24,0)))</f>
        <v/>
      </c>
      <c r="J467" s="14" t="n"/>
      <c r="K467" s="15">
        <f>IF(OR(I467="",J467=""),"",IF(F467="Отменена",0,ROUND(I467*J467,2)))</f>
        <v/>
      </c>
      <c r="L467" s="15">
        <f>IF(K467="","",ROUND(K467*Настройки!$B$5,2))</f>
        <v/>
      </c>
      <c r="M467" s="15">
        <f>IF(A467="","",SUMIFS(Начисления!$M$2:$M$1000,Начисления!$F$2:$F$1000,A467))</f>
        <v/>
      </c>
      <c r="N467" s="15">
        <f>IF(A467="","",SUM(K467:M467))</f>
        <v/>
      </c>
      <c r="O467" s="14" t="n"/>
      <c r="P467" s="15">
        <f>IF(A467="","",N467-O467)</f>
        <v/>
      </c>
      <c r="Q467" s="10" t="n"/>
      <c r="R467" s="10" t="n"/>
      <c r="S467" s="16">
        <f>IF(ISNUMBER(D467),D467+TIME(3,0,0),"")</f>
        <v/>
      </c>
      <c r="T467" s="10" t="n"/>
      <c r="U467" s="17">
        <f>IF(OR(B467="",COUNT(D467:E467)&lt;2,E467&lt;D467,F467="Отменена"),0,MAX(0,MIN(E467,Сводка!$B$4)-MAX(D467,Сводка!$B$2)))</f>
        <v/>
      </c>
    </row>
    <row r="468">
      <c r="A468" s="9" t="n"/>
      <c r="B468" s="10" t="n"/>
      <c r="C468" s="10" t="n"/>
      <c r="D468" s="11" t="n"/>
      <c r="E468" s="11" t="n"/>
      <c r="F468" s="10" t="n"/>
      <c r="G468" s="12">
        <f>IF(B468="","",IF(OR(COUNT(D468:E468)&lt;2,E468&lt;D468),"Проверьте даты",IF(OR(F468="Отменена",F468="Возвращена"),"",IF(SUMPRODUCT(($B$2:$B$500=B468)*($D$2:$D$500&lt;=E468)*($E$2:$E$500&gt;=D468)*($F$2:$F$500&lt;&gt;"Отменена")*($F$2:$F$500&lt;&gt;"Возвращена"))&gt;1,"Пересечение","ОК"))))</f>
        <v/>
      </c>
      <c r="H468" s="12">
        <f>IF(OR(B468="",D468=""),"",IF(AND(OR(F468="Выдана",F468="Возвращена"),SUMPRODUCT(($B$2:$B$500=B468)*($D$2:$D$500=D468)*(($F$2:$F$500="Выдана")+($F$2:$F$500="Возвращена")))&gt;1),"Дубль",""))</f>
        <v/>
      </c>
      <c r="I468" s="13">
        <f>IF(OR(B468="",COUNT(D468:E468)&lt;2,E468&lt;D468),"",IF(Настройки!$B$6=Настройки!$M$3,INT(E468)-INT(D468)+1,ROUNDUP(ROUND((E468-D468)*24,2)/24,0)))</f>
        <v/>
      </c>
      <c r="J468" s="14" t="n"/>
      <c r="K468" s="15">
        <f>IF(OR(I468="",J468=""),"",IF(F468="Отменена",0,ROUND(I468*J468,2)))</f>
        <v/>
      </c>
      <c r="L468" s="15">
        <f>IF(K468="","",ROUND(K468*Настройки!$B$5,2))</f>
        <v/>
      </c>
      <c r="M468" s="15">
        <f>IF(A468="","",SUMIFS(Начисления!$M$2:$M$1000,Начисления!$F$2:$F$1000,A468))</f>
        <v/>
      </c>
      <c r="N468" s="15">
        <f>IF(A468="","",SUM(K468:M468))</f>
        <v/>
      </c>
      <c r="O468" s="14" t="n"/>
      <c r="P468" s="15">
        <f>IF(A468="","",N468-O468)</f>
        <v/>
      </c>
      <c r="Q468" s="10" t="n"/>
      <c r="R468" s="10" t="n"/>
      <c r="S468" s="16">
        <f>IF(ISNUMBER(D468),D468+TIME(3,0,0),"")</f>
        <v/>
      </c>
      <c r="T468" s="10" t="n"/>
      <c r="U468" s="17">
        <f>IF(OR(B468="",COUNT(D468:E468)&lt;2,E468&lt;D468,F468="Отменена"),0,MAX(0,MIN(E468,Сводка!$B$4)-MAX(D468,Сводка!$B$2)))</f>
        <v/>
      </c>
    </row>
    <row r="469">
      <c r="A469" s="9" t="n"/>
      <c r="B469" s="10" t="n"/>
      <c r="C469" s="10" t="n"/>
      <c r="D469" s="11" t="n"/>
      <c r="E469" s="11" t="n"/>
      <c r="F469" s="10" t="n"/>
      <c r="G469" s="12">
        <f>IF(B469="","",IF(OR(COUNT(D469:E469)&lt;2,E469&lt;D469),"Проверьте даты",IF(OR(F469="Отменена",F469="Возвращена"),"",IF(SUMPRODUCT(($B$2:$B$500=B469)*($D$2:$D$500&lt;=E469)*($E$2:$E$500&gt;=D469)*($F$2:$F$500&lt;&gt;"Отменена")*($F$2:$F$500&lt;&gt;"Возвращена"))&gt;1,"Пересечение","ОК"))))</f>
        <v/>
      </c>
      <c r="H469" s="12">
        <f>IF(OR(B469="",D469=""),"",IF(AND(OR(F469="Выдана",F469="Возвращена"),SUMPRODUCT(($B$2:$B$500=B469)*($D$2:$D$500=D469)*(($F$2:$F$500="Выдана")+($F$2:$F$500="Возвращена")))&gt;1),"Дубль",""))</f>
        <v/>
      </c>
      <c r="I469" s="13">
        <f>IF(OR(B469="",COUNT(D469:E469)&lt;2,E469&lt;D469),"",IF(Настройки!$B$6=Настройки!$M$3,INT(E469)-INT(D469)+1,ROUNDUP(ROUND((E469-D469)*24,2)/24,0)))</f>
        <v/>
      </c>
      <c r="J469" s="14" t="n"/>
      <c r="K469" s="15">
        <f>IF(OR(I469="",J469=""),"",IF(F469="Отменена",0,ROUND(I469*J469,2)))</f>
        <v/>
      </c>
      <c r="L469" s="15">
        <f>IF(K469="","",ROUND(K469*Настройки!$B$5,2))</f>
        <v/>
      </c>
      <c r="M469" s="15">
        <f>IF(A469="","",SUMIFS(Начисления!$M$2:$M$1000,Начисления!$F$2:$F$1000,A469))</f>
        <v/>
      </c>
      <c r="N469" s="15">
        <f>IF(A469="","",SUM(K469:M469))</f>
        <v/>
      </c>
      <c r="O469" s="14" t="n"/>
      <c r="P469" s="15">
        <f>IF(A469="","",N469-O469)</f>
        <v/>
      </c>
      <c r="Q469" s="10" t="n"/>
      <c r="R469" s="10" t="n"/>
      <c r="S469" s="16">
        <f>IF(ISNUMBER(D469),D469+TIME(3,0,0),"")</f>
        <v/>
      </c>
      <c r="T469" s="10" t="n"/>
      <c r="U469" s="17">
        <f>IF(OR(B469="",COUNT(D469:E469)&lt;2,E469&lt;D469,F469="Отменена"),0,MAX(0,MIN(E469,Сводка!$B$4)-MAX(D469,Сводка!$B$2)))</f>
        <v/>
      </c>
    </row>
    <row r="470">
      <c r="A470" s="9" t="n"/>
      <c r="B470" s="10" t="n"/>
      <c r="C470" s="10" t="n"/>
      <c r="D470" s="11" t="n"/>
      <c r="E470" s="11" t="n"/>
      <c r="F470" s="10" t="n"/>
      <c r="G470" s="12">
        <f>IF(B470="","",IF(OR(COUNT(D470:E470)&lt;2,E470&lt;D470),"Проверьте даты",IF(OR(F470="Отменена",F470="Возвращена"),"",IF(SUMPRODUCT(($B$2:$B$500=B470)*($D$2:$D$500&lt;=E470)*($E$2:$E$500&gt;=D470)*($F$2:$F$500&lt;&gt;"Отменена")*($F$2:$F$500&lt;&gt;"Возвращена"))&gt;1,"Пересечение","ОК"))))</f>
        <v/>
      </c>
      <c r="H470" s="12">
        <f>IF(OR(B470="",D470=""),"",IF(AND(OR(F470="Выдана",F470="Возвращена"),SUMPRODUCT(($B$2:$B$500=B470)*($D$2:$D$500=D470)*(($F$2:$F$500="Выдана")+($F$2:$F$500="Возвращена")))&gt;1),"Дубль",""))</f>
        <v/>
      </c>
      <c r="I470" s="13">
        <f>IF(OR(B470="",COUNT(D470:E470)&lt;2,E470&lt;D470),"",IF(Настройки!$B$6=Настройки!$M$3,INT(E470)-INT(D470)+1,ROUNDUP(ROUND((E470-D470)*24,2)/24,0)))</f>
        <v/>
      </c>
      <c r="J470" s="14" t="n"/>
      <c r="K470" s="15">
        <f>IF(OR(I470="",J470=""),"",IF(F470="Отменена",0,ROUND(I470*J470,2)))</f>
        <v/>
      </c>
      <c r="L470" s="15">
        <f>IF(K470="","",ROUND(K470*Настройки!$B$5,2))</f>
        <v/>
      </c>
      <c r="M470" s="15">
        <f>IF(A470="","",SUMIFS(Начисления!$M$2:$M$1000,Начисления!$F$2:$F$1000,A470))</f>
        <v/>
      </c>
      <c r="N470" s="15">
        <f>IF(A470="","",SUM(K470:M470))</f>
        <v/>
      </c>
      <c r="O470" s="14" t="n"/>
      <c r="P470" s="15">
        <f>IF(A470="","",N470-O470)</f>
        <v/>
      </c>
      <c r="Q470" s="10" t="n"/>
      <c r="R470" s="10" t="n"/>
      <c r="S470" s="16">
        <f>IF(ISNUMBER(D470),D470+TIME(3,0,0),"")</f>
        <v/>
      </c>
      <c r="T470" s="10" t="n"/>
      <c r="U470" s="17">
        <f>IF(OR(B470="",COUNT(D470:E470)&lt;2,E470&lt;D470,F470="Отменена"),0,MAX(0,MIN(E470,Сводка!$B$4)-MAX(D470,Сводка!$B$2)))</f>
        <v/>
      </c>
    </row>
    <row r="471">
      <c r="A471" s="9" t="n"/>
      <c r="B471" s="10" t="n"/>
      <c r="C471" s="10" t="n"/>
      <c r="D471" s="11" t="n"/>
      <c r="E471" s="11" t="n"/>
      <c r="F471" s="10" t="n"/>
      <c r="G471" s="12">
        <f>IF(B471="","",IF(OR(COUNT(D471:E471)&lt;2,E471&lt;D471),"Проверьте даты",IF(OR(F471="Отменена",F471="Возвращена"),"",IF(SUMPRODUCT(($B$2:$B$500=B471)*($D$2:$D$500&lt;=E471)*($E$2:$E$500&gt;=D471)*($F$2:$F$500&lt;&gt;"Отменена")*($F$2:$F$500&lt;&gt;"Возвращена"))&gt;1,"Пересечение","ОК"))))</f>
        <v/>
      </c>
      <c r="H471" s="12">
        <f>IF(OR(B471="",D471=""),"",IF(AND(OR(F471="Выдана",F471="Возвращена"),SUMPRODUCT(($B$2:$B$500=B471)*($D$2:$D$500=D471)*(($F$2:$F$500="Выдана")+($F$2:$F$500="Возвращена")))&gt;1),"Дубль",""))</f>
        <v/>
      </c>
      <c r="I471" s="13">
        <f>IF(OR(B471="",COUNT(D471:E471)&lt;2,E471&lt;D471),"",IF(Настройки!$B$6=Настройки!$M$3,INT(E471)-INT(D471)+1,ROUNDUP(ROUND((E471-D471)*24,2)/24,0)))</f>
        <v/>
      </c>
      <c r="J471" s="14" t="n"/>
      <c r="K471" s="15">
        <f>IF(OR(I471="",J471=""),"",IF(F471="Отменена",0,ROUND(I471*J471,2)))</f>
        <v/>
      </c>
      <c r="L471" s="15">
        <f>IF(K471="","",ROUND(K471*Настройки!$B$5,2))</f>
        <v/>
      </c>
      <c r="M471" s="15">
        <f>IF(A471="","",SUMIFS(Начисления!$M$2:$M$1000,Начисления!$F$2:$F$1000,A471))</f>
        <v/>
      </c>
      <c r="N471" s="15">
        <f>IF(A471="","",SUM(K471:M471))</f>
        <v/>
      </c>
      <c r="O471" s="14" t="n"/>
      <c r="P471" s="15">
        <f>IF(A471="","",N471-O471)</f>
        <v/>
      </c>
      <c r="Q471" s="10" t="n"/>
      <c r="R471" s="10" t="n"/>
      <c r="S471" s="16">
        <f>IF(ISNUMBER(D471),D471+TIME(3,0,0),"")</f>
        <v/>
      </c>
      <c r="T471" s="10" t="n"/>
      <c r="U471" s="17">
        <f>IF(OR(B471="",COUNT(D471:E471)&lt;2,E471&lt;D471,F471="Отменена"),0,MAX(0,MIN(E471,Сводка!$B$4)-MAX(D471,Сводка!$B$2)))</f>
        <v/>
      </c>
    </row>
    <row r="472">
      <c r="A472" s="9" t="n"/>
      <c r="B472" s="10" t="n"/>
      <c r="C472" s="10" t="n"/>
      <c r="D472" s="11" t="n"/>
      <c r="E472" s="11" t="n"/>
      <c r="F472" s="10" t="n"/>
      <c r="G472" s="12">
        <f>IF(B472="","",IF(OR(COUNT(D472:E472)&lt;2,E472&lt;D472),"Проверьте даты",IF(OR(F472="Отменена",F472="Возвращена"),"",IF(SUMPRODUCT(($B$2:$B$500=B472)*($D$2:$D$500&lt;=E472)*($E$2:$E$500&gt;=D472)*($F$2:$F$500&lt;&gt;"Отменена")*($F$2:$F$500&lt;&gt;"Возвращена"))&gt;1,"Пересечение","ОК"))))</f>
        <v/>
      </c>
      <c r="H472" s="12">
        <f>IF(OR(B472="",D472=""),"",IF(AND(OR(F472="Выдана",F472="Возвращена"),SUMPRODUCT(($B$2:$B$500=B472)*($D$2:$D$500=D472)*(($F$2:$F$500="Выдана")+($F$2:$F$500="Возвращена")))&gt;1),"Дубль",""))</f>
        <v/>
      </c>
      <c r="I472" s="13">
        <f>IF(OR(B472="",COUNT(D472:E472)&lt;2,E472&lt;D472),"",IF(Настройки!$B$6=Настройки!$M$3,INT(E472)-INT(D472)+1,ROUNDUP(ROUND((E472-D472)*24,2)/24,0)))</f>
        <v/>
      </c>
      <c r="J472" s="14" t="n"/>
      <c r="K472" s="15">
        <f>IF(OR(I472="",J472=""),"",IF(F472="Отменена",0,ROUND(I472*J472,2)))</f>
        <v/>
      </c>
      <c r="L472" s="15">
        <f>IF(K472="","",ROUND(K472*Настройки!$B$5,2))</f>
        <v/>
      </c>
      <c r="M472" s="15">
        <f>IF(A472="","",SUMIFS(Начисления!$M$2:$M$1000,Начисления!$F$2:$F$1000,A472))</f>
        <v/>
      </c>
      <c r="N472" s="15">
        <f>IF(A472="","",SUM(K472:M472))</f>
        <v/>
      </c>
      <c r="O472" s="14" t="n"/>
      <c r="P472" s="15">
        <f>IF(A472="","",N472-O472)</f>
        <v/>
      </c>
      <c r="Q472" s="10" t="n"/>
      <c r="R472" s="10" t="n"/>
      <c r="S472" s="16">
        <f>IF(ISNUMBER(D472),D472+TIME(3,0,0),"")</f>
        <v/>
      </c>
      <c r="T472" s="10" t="n"/>
      <c r="U472" s="17">
        <f>IF(OR(B472="",COUNT(D472:E472)&lt;2,E472&lt;D472,F472="Отменена"),0,MAX(0,MIN(E472,Сводка!$B$4)-MAX(D472,Сводка!$B$2)))</f>
        <v/>
      </c>
    </row>
    <row r="473">
      <c r="A473" s="9" t="n"/>
      <c r="B473" s="10" t="n"/>
      <c r="C473" s="10" t="n"/>
      <c r="D473" s="11" t="n"/>
      <c r="E473" s="11" t="n"/>
      <c r="F473" s="10" t="n"/>
      <c r="G473" s="12">
        <f>IF(B473="","",IF(OR(COUNT(D473:E473)&lt;2,E473&lt;D473),"Проверьте даты",IF(OR(F473="Отменена",F473="Возвращена"),"",IF(SUMPRODUCT(($B$2:$B$500=B473)*($D$2:$D$500&lt;=E473)*($E$2:$E$500&gt;=D473)*($F$2:$F$500&lt;&gt;"Отменена")*($F$2:$F$500&lt;&gt;"Возвращена"))&gt;1,"Пересечение","ОК"))))</f>
        <v/>
      </c>
      <c r="H473" s="12">
        <f>IF(OR(B473="",D473=""),"",IF(AND(OR(F473="Выдана",F473="Возвращена"),SUMPRODUCT(($B$2:$B$500=B473)*($D$2:$D$500=D473)*(($F$2:$F$500="Выдана")+($F$2:$F$500="Возвращена")))&gt;1),"Дубль",""))</f>
        <v/>
      </c>
      <c r="I473" s="13">
        <f>IF(OR(B473="",COUNT(D473:E473)&lt;2,E473&lt;D473),"",IF(Настройки!$B$6=Настройки!$M$3,INT(E473)-INT(D473)+1,ROUNDUP(ROUND((E473-D473)*24,2)/24,0)))</f>
        <v/>
      </c>
      <c r="J473" s="14" t="n"/>
      <c r="K473" s="15">
        <f>IF(OR(I473="",J473=""),"",IF(F473="Отменена",0,ROUND(I473*J473,2)))</f>
        <v/>
      </c>
      <c r="L473" s="15">
        <f>IF(K473="","",ROUND(K473*Настройки!$B$5,2))</f>
        <v/>
      </c>
      <c r="M473" s="15">
        <f>IF(A473="","",SUMIFS(Начисления!$M$2:$M$1000,Начисления!$F$2:$F$1000,A473))</f>
        <v/>
      </c>
      <c r="N473" s="15">
        <f>IF(A473="","",SUM(K473:M473))</f>
        <v/>
      </c>
      <c r="O473" s="14" t="n"/>
      <c r="P473" s="15">
        <f>IF(A473="","",N473-O473)</f>
        <v/>
      </c>
      <c r="Q473" s="10" t="n"/>
      <c r="R473" s="10" t="n"/>
      <c r="S473" s="16">
        <f>IF(ISNUMBER(D473),D473+TIME(3,0,0),"")</f>
        <v/>
      </c>
      <c r="T473" s="10" t="n"/>
      <c r="U473" s="17">
        <f>IF(OR(B473="",COUNT(D473:E473)&lt;2,E473&lt;D473,F473="Отменена"),0,MAX(0,MIN(E473,Сводка!$B$4)-MAX(D473,Сводка!$B$2)))</f>
        <v/>
      </c>
    </row>
    <row r="474">
      <c r="A474" s="9" t="n"/>
      <c r="B474" s="10" t="n"/>
      <c r="C474" s="10" t="n"/>
      <c r="D474" s="11" t="n"/>
      <c r="E474" s="11" t="n"/>
      <c r="F474" s="10" t="n"/>
      <c r="G474" s="12">
        <f>IF(B474="","",IF(OR(COUNT(D474:E474)&lt;2,E474&lt;D474),"Проверьте даты",IF(OR(F474="Отменена",F474="Возвращена"),"",IF(SUMPRODUCT(($B$2:$B$500=B474)*($D$2:$D$500&lt;=E474)*($E$2:$E$500&gt;=D474)*($F$2:$F$500&lt;&gt;"Отменена")*($F$2:$F$500&lt;&gt;"Возвращена"))&gt;1,"Пересечение","ОК"))))</f>
        <v/>
      </c>
      <c r="H474" s="12">
        <f>IF(OR(B474="",D474=""),"",IF(AND(OR(F474="Выдана",F474="Возвращена"),SUMPRODUCT(($B$2:$B$500=B474)*($D$2:$D$500=D474)*(($F$2:$F$500="Выдана")+($F$2:$F$500="Возвращена")))&gt;1),"Дубль",""))</f>
        <v/>
      </c>
      <c r="I474" s="13">
        <f>IF(OR(B474="",COUNT(D474:E474)&lt;2,E474&lt;D474),"",IF(Настройки!$B$6=Настройки!$M$3,INT(E474)-INT(D474)+1,ROUNDUP(ROUND((E474-D474)*24,2)/24,0)))</f>
        <v/>
      </c>
      <c r="J474" s="14" t="n"/>
      <c r="K474" s="15">
        <f>IF(OR(I474="",J474=""),"",IF(F474="Отменена",0,ROUND(I474*J474,2)))</f>
        <v/>
      </c>
      <c r="L474" s="15">
        <f>IF(K474="","",ROUND(K474*Настройки!$B$5,2))</f>
        <v/>
      </c>
      <c r="M474" s="15">
        <f>IF(A474="","",SUMIFS(Начисления!$M$2:$M$1000,Начисления!$F$2:$F$1000,A474))</f>
        <v/>
      </c>
      <c r="N474" s="15">
        <f>IF(A474="","",SUM(K474:M474))</f>
        <v/>
      </c>
      <c r="O474" s="14" t="n"/>
      <c r="P474" s="15">
        <f>IF(A474="","",N474-O474)</f>
        <v/>
      </c>
      <c r="Q474" s="10" t="n"/>
      <c r="R474" s="10" t="n"/>
      <c r="S474" s="16">
        <f>IF(ISNUMBER(D474),D474+TIME(3,0,0),"")</f>
        <v/>
      </c>
      <c r="T474" s="10" t="n"/>
      <c r="U474" s="17">
        <f>IF(OR(B474="",COUNT(D474:E474)&lt;2,E474&lt;D474,F474="Отменена"),0,MAX(0,MIN(E474,Сводка!$B$4)-MAX(D474,Сводка!$B$2)))</f>
        <v/>
      </c>
    </row>
    <row r="475">
      <c r="A475" s="9" t="n"/>
      <c r="B475" s="10" t="n"/>
      <c r="C475" s="10" t="n"/>
      <c r="D475" s="11" t="n"/>
      <c r="E475" s="11" t="n"/>
      <c r="F475" s="10" t="n"/>
      <c r="G475" s="12">
        <f>IF(B475="","",IF(OR(COUNT(D475:E475)&lt;2,E475&lt;D475),"Проверьте даты",IF(OR(F475="Отменена",F475="Возвращена"),"",IF(SUMPRODUCT(($B$2:$B$500=B475)*($D$2:$D$500&lt;=E475)*($E$2:$E$500&gt;=D475)*($F$2:$F$500&lt;&gt;"Отменена")*($F$2:$F$500&lt;&gt;"Возвращена"))&gt;1,"Пересечение","ОК"))))</f>
        <v/>
      </c>
      <c r="H475" s="12">
        <f>IF(OR(B475="",D475=""),"",IF(AND(OR(F475="Выдана",F475="Возвращена"),SUMPRODUCT(($B$2:$B$500=B475)*($D$2:$D$500=D475)*(($F$2:$F$500="Выдана")+($F$2:$F$500="Возвращена")))&gt;1),"Дубль",""))</f>
        <v/>
      </c>
      <c r="I475" s="13">
        <f>IF(OR(B475="",COUNT(D475:E475)&lt;2,E475&lt;D475),"",IF(Настройки!$B$6=Настройки!$M$3,INT(E475)-INT(D475)+1,ROUNDUP(ROUND((E475-D475)*24,2)/24,0)))</f>
        <v/>
      </c>
      <c r="J475" s="14" t="n"/>
      <c r="K475" s="15">
        <f>IF(OR(I475="",J475=""),"",IF(F475="Отменена",0,ROUND(I475*J475,2)))</f>
        <v/>
      </c>
      <c r="L475" s="15">
        <f>IF(K475="","",ROUND(K475*Настройки!$B$5,2))</f>
        <v/>
      </c>
      <c r="M475" s="15">
        <f>IF(A475="","",SUMIFS(Начисления!$M$2:$M$1000,Начисления!$F$2:$F$1000,A475))</f>
        <v/>
      </c>
      <c r="N475" s="15">
        <f>IF(A475="","",SUM(K475:M475))</f>
        <v/>
      </c>
      <c r="O475" s="14" t="n"/>
      <c r="P475" s="15">
        <f>IF(A475="","",N475-O475)</f>
        <v/>
      </c>
      <c r="Q475" s="10" t="n"/>
      <c r="R475" s="10" t="n"/>
      <c r="S475" s="16">
        <f>IF(ISNUMBER(D475),D475+TIME(3,0,0),"")</f>
        <v/>
      </c>
      <c r="T475" s="10" t="n"/>
      <c r="U475" s="17">
        <f>IF(OR(B475="",COUNT(D475:E475)&lt;2,E475&lt;D475,F475="Отменена"),0,MAX(0,MIN(E475,Сводка!$B$4)-MAX(D475,Сводка!$B$2)))</f>
        <v/>
      </c>
    </row>
    <row r="476">
      <c r="A476" s="9" t="n"/>
      <c r="B476" s="10" t="n"/>
      <c r="C476" s="10" t="n"/>
      <c r="D476" s="11" t="n"/>
      <c r="E476" s="11" t="n"/>
      <c r="F476" s="10" t="n"/>
      <c r="G476" s="12">
        <f>IF(B476="","",IF(OR(COUNT(D476:E476)&lt;2,E476&lt;D476),"Проверьте даты",IF(OR(F476="Отменена",F476="Возвращена"),"",IF(SUMPRODUCT(($B$2:$B$500=B476)*($D$2:$D$500&lt;=E476)*($E$2:$E$500&gt;=D476)*($F$2:$F$500&lt;&gt;"Отменена")*($F$2:$F$500&lt;&gt;"Возвращена"))&gt;1,"Пересечение","ОК"))))</f>
        <v/>
      </c>
      <c r="H476" s="12">
        <f>IF(OR(B476="",D476=""),"",IF(AND(OR(F476="Выдана",F476="Возвращена"),SUMPRODUCT(($B$2:$B$500=B476)*($D$2:$D$500=D476)*(($F$2:$F$500="Выдана")+($F$2:$F$500="Возвращена")))&gt;1),"Дубль",""))</f>
        <v/>
      </c>
      <c r="I476" s="13">
        <f>IF(OR(B476="",COUNT(D476:E476)&lt;2,E476&lt;D476),"",IF(Настройки!$B$6=Настройки!$M$3,INT(E476)-INT(D476)+1,ROUNDUP(ROUND((E476-D476)*24,2)/24,0)))</f>
        <v/>
      </c>
      <c r="J476" s="14" t="n"/>
      <c r="K476" s="15">
        <f>IF(OR(I476="",J476=""),"",IF(F476="Отменена",0,ROUND(I476*J476,2)))</f>
        <v/>
      </c>
      <c r="L476" s="15">
        <f>IF(K476="","",ROUND(K476*Настройки!$B$5,2))</f>
        <v/>
      </c>
      <c r="M476" s="15">
        <f>IF(A476="","",SUMIFS(Начисления!$M$2:$M$1000,Начисления!$F$2:$F$1000,A476))</f>
        <v/>
      </c>
      <c r="N476" s="15">
        <f>IF(A476="","",SUM(K476:M476))</f>
        <v/>
      </c>
      <c r="O476" s="14" t="n"/>
      <c r="P476" s="15">
        <f>IF(A476="","",N476-O476)</f>
        <v/>
      </c>
      <c r="Q476" s="10" t="n"/>
      <c r="R476" s="10" t="n"/>
      <c r="S476" s="16">
        <f>IF(ISNUMBER(D476),D476+TIME(3,0,0),"")</f>
        <v/>
      </c>
      <c r="T476" s="10" t="n"/>
      <c r="U476" s="17">
        <f>IF(OR(B476="",COUNT(D476:E476)&lt;2,E476&lt;D476,F476="Отменена"),0,MAX(0,MIN(E476,Сводка!$B$4)-MAX(D476,Сводка!$B$2)))</f>
        <v/>
      </c>
    </row>
    <row r="477">
      <c r="A477" s="9" t="n"/>
      <c r="B477" s="10" t="n"/>
      <c r="C477" s="10" t="n"/>
      <c r="D477" s="11" t="n"/>
      <c r="E477" s="11" t="n"/>
      <c r="F477" s="10" t="n"/>
      <c r="G477" s="12">
        <f>IF(B477="","",IF(OR(COUNT(D477:E477)&lt;2,E477&lt;D477),"Проверьте даты",IF(OR(F477="Отменена",F477="Возвращена"),"",IF(SUMPRODUCT(($B$2:$B$500=B477)*($D$2:$D$500&lt;=E477)*($E$2:$E$500&gt;=D477)*($F$2:$F$500&lt;&gt;"Отменена")*($F$2:$F$500&lt;&gt;"Возвращена"))&gt;1,"Пересечение","ОК"))))</f>
        <v/>
      </c>
      <c r="H477" s="12">
        <f>IF(OR(B477="",D477=""),"",IF(AND(OR(F477="Выдана",F477="Возвращена"),SUMPRODUCT(($B$2:$B$500=B477)*($D$2:$D$500=D477)*(($F$2:$F$500="Выдана")+($F$2:$F$500="Возвращена")))&gt;1),"Дубль",""))</f>
        <v/>
      </c>
      <c r="I477" s="13">
        <f>IF(OR(B477="",COUNT(D477:E477)&lt;2,E477&lt;D477),"",IF(Настройки!$B$6=Настройки!$M$3,INT(E477)-INT(D477)+1,ROUNDUP(ROUND((E477-D477)*24,2)/24,0)))</f>
        <v/>
      </c>
      <c r="J477" s="14" t="n"/>
      <c r="K477" s="15">
        <f>IF(OR(I477="",J477=""),"",IF(F477="Отменена",0,ROUND(I477*J477,2)))</f>
        <v/>
      </c>
      <c r="L477" s="15">
        <f>IF(K477="","",ROUND(K477*Настройки!$B$5,2))</f>
        <v/>
      </c>
      <c r="M477" s="15">
        <f>IF(A477="","",SUMIFS(Начисления!$M$2:$M$1000,Начисления!$F$2:$F$1000,A477))</f>
        <v/>
      </c>
      <c r="N477" s="15">
        <f>IF(A477="","",SUM(K477:M477))</f>
        <v/>
      </c>
      <c r="O477" s="14" t="n"/>
      <c r="P477" s="15">
        <f>IF(A477="","",N477-O477)</f>
        <v/>
      </c>
      <c r="Q477" s="10" t="n"/>
      <c r="R477" s="10" t="n"/>
      <c r="S477" s="16">
        <f>IF(ISNUMBER(D477),D477+TIME(3,0,0),"")</f>
        <v/>
      </c>
      <c r="T477" s="10" t="n"/>
      <c r="U477" s="17">
        <f>IF(OR(B477="",COUNT(D477:E477)&lt;2,E477&lt;D477,F477="Отменена"),0,MAX(0,MIN(E477,Сводка!$B$4)-MAX(D477,Сводка!$B$2)))</f>
        <v/>
      </c>
    </row>
    <row r="478">
      <c r="A478" s="9" t="n"/>
      <c r="B478" s="10" t="n"/>
      <c r="C478" s="10" t="n"/>
      <c r="D478" s="11" t="n"/>
      <c r="E478" s="11" t="n"/>
      <c r="F478" s="10" t="n"/>
      <c r="G478" s="12">
        <f>IF(B478="","",IF(OR(COUNT(D478:E478)&lt;2,E478&lt;D478),"Проверьте даты",IF(OR(F478="Отменена",F478="Возвращена"),"",IF(SUMPRODUCT(($B$2:$B$500=B478)*($D$2:$D$500&lt;=E478)*($E$2:$E$500&gt;=D478)*($F$2:$F$500&lt;&gt;"Отменена")*($F$2:$F$500&lt;&gt;"Возвращена"))&gt;1,"Пересечение","ОК"))))</f>
        <v/>
      </c>
      <c r="H478" s="12">
        <f>IF(OR(B478="",D478=""),"",IF(AND(OR(F478="Выдана",F478="Возвращена"),SUMPRODUCT(($B$2:$B$500=B478)*($D$2:$D$500=D478)*(($F$2:$F$500="Выдана")+($F$2:$F$500="Возвращена")))&gt;1),"Дубль",""))</f>
        <v/>
      </c>
      <c r="I478" s="13">
        <f>IF(OR(B478="",COUNT(D478:E478)&lt;2,E478&lt;D478),"",IF(Настройки!$B$6=Настройки!$M$3,INT(E478)-INT(D478)+1,ROUNDUP(ROUND((E478-D478)*24,2)/24,0)))</f>
        <v/>
      </c>
      <c r="J478" s="14" t="n"/>
      <c r="K478" s="15">
        <f>IF(OR(I478="",J478=""),"",IF(F478="Отменена",0,ROUND(I478*J478,2)))</f>
        <v/>
      </c>
      <c r="L478" s="15">
        <f>IF(K478="","",ROUND(K478*Настройки!$B$5,2))</f>
        <v/>
      </c>
      <c r="M478" s="15">
        <f>IF(A478="","",SUMIFS(Начисления!$M$2:$M$1000,Начисления!$F$2:$F$1000,A478))</f>
        <v/>
      </c>
      <c r="N478" s="15">
        <f>IF(A478="","",SUM(K478:M478))</f>
        <v/>
      </c>
      <c r="O478" s="14" t="n"/>
      <c r="P478" s="15">
        <f>IF(A478="","",N478-O478)</f>
        <v/>
      </c>
      <c r="Q478" s="10" t="n"/>
      <c r="R478" s="10" t="n"/>
      <c r="S478" s="16">
        <f>IF(ISNUMBER(D478),D478+TIME(3,0,0),"")</f>
        <v/>
      </c>
      <c r="T478" s="10" t="n"/>
      <c r="U478" s="17">
        <f>IF(OR(B478="",COUNT(D478:E478)&lt;2,E478&lt;D478,F478="Отменена"),0,MAX(0,MIN(E478,Сводка!$B$4)-MAX(D478,Сводка!$B$2)))</f>
        <v/>
      </c>
    </row>
    <row r="479">
      <c r="A479" s="9" t="n"/>
      <c r="B479" s="10" t="n"/>
      <c r="C479" s="10" t="n"/>
      <c r="D479" s="11" t="n"/>
      <c r="E479" s="11" t="n"/>
      <c r="F479" s="10" t="n"/>
      <c r="G479" s="12">
        <f>IF(B479="","",IF(OR(COUNT(D479:E479)&lt;2,E479&lt;D479),"Проверьте даты",IF(OR(F479="Отменена",F479="Возвращена"),"",IF(SUMPRODUCT(($B$2:$B$500=B479)*($D$2:$D$500&lt;=E479)*($E$2:$E$500&gt;=D479)*($F$2:$F$500&lt;&gt;"Отменена")*($F$2:$F$500&lt;&gt;"Возвращена"))&gt;1,"Пересечение","ОК"))))</f>
        <v/>
      </c>
      <c r="H479" s="12">
        <f>IF(OR(B479="",D479=""),"",IF(AND(OR(F479="Выдана",F479="Возвращена"),SUMPRODUCT(($B$2:$B$500=B479)*($D$2:$D$500=D479)*(($F$2:$F$500="Выдана")+($F$2:$F$500="Возвращена")))&gt;1),"Дубль",""))</f>
        <v/>
      </c>
      <c r="I479" s="13">
        <f>IF(OR(B479="",COUNT(D479:E479)&lt;2,E479&lt;D479),"",IF(Настройки!$B$6=Настройки!$M$3,INT(E479)-INT(D479)+1,ROUNDUP(ROUND((E479-D479)*24,2)/24,0)))</f>
        <v/>
      </c>
      <c r="J479" s="14" t="n"/>
      <c r="K479" s="15">
        <f>IF(OR(I479="",J479=""),"",IF(F479="Отменена",0,ROUND(I479*J479,2)))</f>
        <v/>
      </c>
      <c r="L479" s="15">
        <f>IF(K479="","",ROUND(K479*Настройки!$B$5,2))</f>
        <v/>
      </c>
      <c r="M479" s="15">
        <f>IF(A479="","",SUMIFS(Начисления!$M$2:$M$1000,Начисления!$F$2:$F$1000,A479))</f>
        <v/>
      </c>
      <c r="N479" s="15">
        <f>IF(A479="","",SUM(K479:M479))</f>
        <v/>
      </c>
      <c r="O479" s="14" t="n"/>
      <c r="P479" s="15">
        <f>IF(A479="","",N479-O479)</f>
        <v/>
      </c>
      <c r="Q479" s="10" t="n"/>
      <c r="R479" s="10" t="n"/>
      <c r="S479" s="16">
        <f>IF(ISNUMBER(D479),D479+TIME(3,0,0),"")</f>
        <v/>
      </c>
      <c r="T479" s="10" t="n"/>
      <c r="U479" s="17">
        <f>IF(OR(B479="",COUNT(D479:E479)&lt;2,E479&lt;D479,F479="Отменена"),0,MAX(0,MIN(E479,Сводка!$B$4)-MAX(D479,Сводка!$B$2)))</f>
        <v/>
      </c>
    </row>
    <row r="480">
      <c r="A480" s="9" t="n"/>
      <c r="B480" s="10" t="n"/>
      <c r="C480" s="10" t="n"/>
      <c r="D480" s="11" t="n"/>
      <c r="E480" s="11" t="n"/>
      <c r="F480" s="10" t="n"/>
      <c r="G480" s="12">
        <f>IF(B480="","",IF(OR(COUNT(D480:E480)&lt;2,E480&lt;D480),"Проверьте даты",IF(OR(F480="Отменена",F480="Возвращена"),"",IF(SUMPRODUCT(($B$2:$B$500=B480)*($D$2:$D$500&lt;=E480)*($E$2:$E$500&gt;=D480)*($F$2:$F$500&lt;&gt;"Отменена")*($F$2:$F$500&lt;&gt;"Возвращена"))&gt;1,"Пересечение","ОК"))))</f>
        <v/>
      </c>
      <c r="H480" s="12">
        <f>IF(OR(B480="",D480=""),"",IF(AND(OR(F480="Выдана",F480="Возвращена"),SUMPRODUCT(($B$2:$B$500=B480)*($D$2:$D$500=D480)*(($F$2:$F$500="Выдана")+($F$2:$F$500="Возвращена")))&gt;1),"Дубль",""))</f>
        <v/>
      </c>
      <c r="I480" s="13">
        <f>IF(OR(B480="",COUNT(D480:E480)&lt;2,E480&lt;D480),"",IF(Настройки!$B$6=Настройки!$M$3,INT(E480)-INT(D480)+1,ROUNDUP(ROUND((E480-D480)*24,2)/24,0)))</f>
        <v/>
      </c>
      <c r="J480" s="14" t="n"/>
      <c r="K480" s="15">
        <f>IF(OR(I480="",J480=""),"",IF(F480="Отменена",0,ROUND(I480*J480,2)))</f>
        <v/>
      </c>
      <c r="L480" s="15">
        <f>IF(K480="","",ROUND(K480*Настройки!$B$5,2))</f>
        <v/>
      </c>
      <c r="M480" s="15">
        <f>IF(A480="","",SUMIFS(Начисления!$M$2:$M$1000,Начисления!$F$2:$F$1000,A480))</f>
        <v/>
      </c>
      <c r="N480" s="15">
        <f>IF(A480="","",SUM(K480:M480))</f>
        <v/>
      </c>
      <c r="O480" s="14" t="n"/>
      <c r="P480" s="15">
        <f>IF(A480="","",N480-O480)</f>
        <v/>
      </c>
      <c r="Q480" s="10" t="n"/>
      <c r="R480" s="10" t="n"/>
      <c r="S480" s="16">
        <f>IF(ISNUMBER(D480),D480+TIME(3,0,0),"")</f>
        <v/>
      </c>
      <c r="T480" s="10" t="n"/>
      <c r="U480" s="17">
        <f>IF(OR(B480="",COUNT(D480:E480)&lt;2,E480&lt;D480,F480="Отменена"),0,MAX(0,MIN(E480,Сводка!$B$4)-MAX(D480,Сводка!$B$2)))</f>
        <v/>
      </c>
    </row>
    <row r="481">
      <c r="A481" s="9" t="n"/>
      <c r="B481" s="10" t="n"/>
      <c r="C481" s="10" t="n"/>
      <c r="D481" s="11" t="n"/>
      <c r="E481" s="11" t="n"/>
      <c r="F481" s="10" t="n"/>
      <c r="G481" s="12">
        <f>IF(B481="","",IF(OR(COUNT(D481:E481)&lt;2,E481&lt;D481),"Проверьте даты",IF(OR(F481="Отменена",F481="Возвращена"),"",IF(SUMPRODUCT(($B$2:$B$500=B481)*($D$2:$D$500&lt;=E481)*($E$2:$E$500&gt;=D481)*($F$2:$F$500&lt;&gt;"Отменена")*($F$2:$F$500&lt;&gt;"Возвращена"))&gt;1,"Пересечение","ОК"))))</f>
        <v/>
      </c>
      <c r="H481" s="12">
        <f>IF(OR(B481="",D481=""),"",IF(AND(OR(F481="Выдана",F481="Возвращена"),SUMPRODUCT(($B$2:$B$500=B481)*($D$2:$D$500=D481)*(($F$2:$F$500="Выдана")+($F$2:$F$500="Возвращена")))&gt;1),"Дубль",""))</f>
        <v/>
      </c>
      <c r="I481" s="13">
        <f>IF(OR(B481="",COUNT(D481:E481)&lt;2,E481&lt;D481),"",IF(Настройки!$B$6=Настройки!$M$3,INT(E481)-INT(D481)+1,ROUNDUP(ROUND((E481-D481)*24,2)/24,0)))</f>
        <v/>
      </c>
      <c r="J481" s="14" t="n"/>
      <c r="K481" s="15">
        <f>IF(OR(I481="",J481=""),"",IF(F481="Отменена",0,ROUND(I481*J481,2)))</f>
        <v/>
      </c>
      <c r="L481" s="15">
        <f>IF(K481="","",ROUND(K481*Настройки!$B$5,2))</f>
        <v/>
      </c>
      <c r="M481" s="15">
        <f>IF(A481="","",SUMIFS(Начисления!$M$2:$M$1000,Начисления!$F$2:$F$1000,A481))</f>
        <v/>
      </c>
      <c r="N481" s="15">
        <f>IF(A481="","",SUM(K481:M481))</f>
        <v/>
      </c>
      <c r="O481" s="14" t="n"/>
      <c r="P481" s="15">
        <f>IF(A481="","",N481-O481)</f>
        <v/>
      </c>
      <c r="Q481" s="10" t="n"/>
      <c r="R481" s="10" t="n"/>
      <c r="S481" s="16">
        <f>IF(ISNUMBER(D481),D481+TIME(3,0,0),"")</f>
        <v/>
      </c>
      <c r="T481" s="10" t="n"/>
      <c r="U481" s="17">
        <f>IF(OR(B481="",COUNT(D481:E481)&lt;2,E481&lt;D481,F481="Отменена"),0,MAX(0,MIN(E481,Сводка!$B$4)-MAX(D481,Сводка!$B$2)))</f>
        <v/>
      </c>
    </row>
    <row r="482">
      <c r="A482" s="9" t="n"/>
      <c r="B482" s="10" t="n"/>
      <c r="C482" s="10" t="n"/>
      <c r="D482" s="11" t="n"/>
      <c r="E482" s="11" t="n"/>
      <c r="F482" s="10" t="n"/>
      <c r="G482" s="12">
        <f>IF(B482="","",IF(OR(COUNT(D482:E482)&lt;2,E482&lt;D482),"Проверьте даты",IF(OR(F482="Отменена",F482="Возвращена"),"",IF(SUMPRODUCT(($B$2:$B$500=B482)*($D$2:$D$500&lt;=E482)*($E$2:$E$500&gt;=D482)*($F$2:$F$500&lt;&gt;"Отменена")*($F$2:$F$500&lt;&gt;"Возвращена"))&gt;1,"Пересечение","ОК"))))</f>
        <v/>
      </c>
      <c r="H482" s="12">
        <f>IF(OR(B482="",D482=""),"",IF(AND(OR(F482="Выдана",F482="Возвращена"),SUMPRODUCT(($B$2:$B$500=B482)*($D$2:$D$500=D482)*(($F$2:$F$500="Выдана")+($F$2:$F$500="Возвращена")))&gt;1),"Дубль",""))</f>
        <v/>
      </c>
      <c r="I482" s="13">
        <f>IF(OR(B482="",COUNT(D482:E482)&lt;2,E482&lt;D482),"",IF(Настройки!$B$6=Настройки!$M$3,INT(E482)-INT(D482)+1,ROUNDUP(ROUND((E482-D482)*24,2)/24,0)))</f>
        <v/>
      </c>
      <c r="J482" s="14" t="n"/>
      <c r="K482" s="15">
        <f>IF(OR(I482="",J482=""),"",IF(F482="Отменена",0,ROUND(I482*J482,2)))</f>
        <v/>
      </c>
      <c r="L482" s="15">
        <f>IF(K482="","",ROUND(K482*Настройки!$B$5,2))</f>
        <v/>
      </c>
      <c r="M482" s="15">
        <f>IF(A482="","",SUMIFS(Начисления!$M$2:$M$1000,Начисления!$F$2:$F$1000,A482))</f>
        <v/>
      </c>
      <c r="N482" s="15">
        <f>IF(A482="","",SUM(K482:M482))</f>
        <v/>
      </c>
      <c r="O482" s="14" t="n"/>
      <c r="P482" s="15">
        <f>IF(A482="","",N482-O482)</f>
        <v/>
      </c>
      <c r="Q482" s="10" t="n"/>
      <c r="R482" s="10" t="n"/>
      <c r="S482" s="16">
        <f>IF(ISNUMBER(D482),D482+TIME(3,0,0),"")</f>
        <v/>
      </c>
      <c r="T482" s="10" t="n"/>
      <c r="U482" s="17">
        <f>IF(OR(B482="",COUNT(D482:E482)&lt;2,E482&lt;D482,F482="Отменена"),0,MAX(0,MIN(E482,Сводка!$B$4)-MAX(D482,Сводка!$B$2)))</f>
        <v/>
      </c>
    </row>
    <row r="483">
      <c r="A483" s="9" t="n"/>
      <c r="B483" s="10" t="n"/>
      <c r="C483" s="10" t="n"/>
      <c r="D483" s="11" t="n"/>
      <c r="E483" s="11" t="n"/>
      <c r="F483" s="10" t="n"/>
      <c r="G483" s="12">
        <f>IF(B483="","",IF(OR(COUNT(D483:E483)&lt;2,E483&lt;D483),"Проверьте даты",IF(OR(F483="Отменена",F483="Возвращена"),"",IF(SUMPRODUCT(($B$2:$B$500=B483)*($D$2:$D$500&lt;=E483)*($E$2:$E$500&gt;=D483)*($F$2:$F$500&lt;&gt;"Отменена")*($F$2:$F$500&lt;&gt;"Возвращена"))&gt;1,"Пересечение","ОК"))))</f>
        <v/>
      </c>
      <c r="H483" s="12">
        <f>IF(OR(B483="",D483=""),"",IF(AND(OR(F483="Выдана",F483="Возвращена"),SUMPRODUCT(($B$2:$B$500=B483)*($D$2:$D$500=D483)*(($F$2:$F$500="Выдана")+($F$2:$F$500="Возвращена")))&gt;1),"Дубль",""))</f>
        <v/>
      </c>
      <c r="I483" s="13">
        <f>IF(OR(B483="",COUNT(D483:E483)&lt;2,E483&lt;D483),"",IF(Настройки!$B$6=Настройки!$M$3,INT(E483)-INT(D483)+1,ROUNDUP(ROUND((E483-D483)*24,2)/24,0)))</f>
        <v/>
      </c>
      <c r="J483" s="14" t="n"/>
      <c r="K483" s="15">
        <f>IF(OR(I483="",J483=""),"",IF(F483="Отменена",0,ROUND(I483*J483,2)))</f>
        <v/>
      </c>
      <c r="L483" s="15">
        <f>IF(K483="","",ROUND(K483*Настройки!$B$5,2))</f>
        <v/>
      </c>
      <c r="M483" s="15">
        <f>IF(A483="","",SUMIFS(Начисления!$M$2:$M$1000,Начисления!$F$2:$F$1000,A483))</f>
        <v/>
      </c>
      <c r="N483" s="15">
        <f>IF(A483="","",SUM(K483:M483))</f>
        <v/>
      </c>
      <c r="O483" s="14" t="n"/>
      <c r="P483" s="15">
        <f>IF(A483="","",N483-O483)</f>
        <v/>
      </c>
      <c r="Q483" s="10" t="n"/>
      <c r="R483" s="10" t="n"/>
      <c r="S483" s="16">
        <f>IF(ISNUMBER(D483),D483+TIME(3,0,0),"")</f>
        <v/>
      </c>
      <c r="T483" s="10" t="n"/>
      <c r="U483" s="17">
        <f>IF(OR(B483="",COUNT(D483:E483)&lt;2,E483&lt;D483,F483="Отменена"),0,MAX(0,MIN(E483,Сводка!$B$4)-MAX(D483,Сводка!$B$2)))</f>
        <v/>
      </c>
    </row>
    <row r="484">
      <c r="A484" s="9" t="n"/>
      <c r="B484" s="10" t="n"/>
      <c r="C484" s="10" t="n"/>
      <c r="D484" s="11" t="n"/>
      <c r="E484" s="11" t="n"/>
      <c r="F484" s="10" t="n"/>
      <c r="G484" s="12">
        <f>IF(B484="","",IF(OR(COUNT(D484:E484)&lt;2,E484&lt;D484),"Проверьте даты",IF(OR(F484="Отменена",F484="Возвращена"),"",IF(SUMPRODUCT(($B$2:$B$500=B484)*($D$2:$D$500&lt;=E484)*($E$2:$E$500&gt;=D484)*($F$2:$F$500&lt;&gt;"Отменена")*($F$2:$F$500&lt;&gt;"Возвращена"))&gt;1,"Пересечение","ОК"))))</f>
        <v/>
      </c>
      <c r="H484" s="12">
        <f>IF(OR(B484="",D484=""),"",IF(AND(OR(F484="Выдана",F484="Возвращена"),SUMPRODUCT(($B$2:$B$500=B484)*($D$2:$D$500=D484)*(($F$2:$F$500="Выдана")+($F$2:$F$500="Возвращена")))&gt;1),"Дубль",""))</f>
        <v/>
      </c>
      <c r="I484" s="13">
        <f>IF(OR(B484="",COUNT(D484:E484)&lt;2,E484&lt;D484),"",IF(Настройки!$B$6=Настройки!$M$3,INT(E484)-INT(D484)+1,ROUNDUP(ROUND((E484-D484)*24,2)/24,0)))</f>
        <v/>
      </c>
      <c r="J484" s="14" t="n"/>
      <c r="K484" s="15">
        <f>IF(OR(I484="",J484=""),"",IF(F484="Отменена",0,ROUND(I484*J484,2)))</f>
        <v/>
      </c>
      <c r="L484" s="15">
        <f>IF(K484="","",ROUND(K484*Настройки!$B$5,2))</f>
        <v/>
      </c>
      <c r="M484" s="15">
        <f>IF(A484="","",SUMIFS(Начисления!$M$2:$M$1000,Начисления!$F$2:$F$1000,A484))</f>
        <v/>
      </c>
      <c r="N484" s="15">
        <f>IF(A484="","",SUM(K484:M484))</f>
        <v/>
      </c>
      <c r="O484" s="14" t="n"/>
      <c r="P484" s="15">
        <f>IF(A484="","",N484-O484)</f>
        <v/>
      </c>
      <c r="Q484" s="10" t="n"/>
      <c r="R484" s="10" t="n"/>
      <c r="S484" s="16">
        <f>IF(ISNUMBER(D484),D484+TIME(3,0,0),"")</f>
        <v/>
      </c>
      <c r="T484" s="10" t="n"/>
      <c r="U484" s="17">
        <f>IF(OR(B484="",COUNT(D484:E484)&lt;2,E484&lt;D484,F484="Отменена"),0,MAX(0,MIN(E484,Сводка!$B$4)-MAX(D484,Сводка!$B$2)))</f>
        <v/>
      </c>
    </row>
    <row r="485">
      <c r="A485" s="9" t="n"/>
      <c r="B485" s="10" t="n"/>
      <c r="C485" s="10" t="n"/>
      <c r="D485" s="11" t="n"/>
      <c r="E485" s="11" t="n"/>
      <c r="F485" s="10" t="n"/>
      <c r="G485" s="12">
        <f>IF(B485="","",IF(OR(COUNT(D485:E485)&lt;2,E485&lt;D485),"Проверьте даты",IF(OR(F485="Отменена",F485="Возвращена"),"",IF(SUMPRODUCT(($B$2:$B$500=B485)*($D$2:$D$500&lt;=E485)*($E$2:$E$500&gt;=D485)*($F$2:$F$500&lt;&gt;"Отменена")*($F$2:$F$500&lt;&gt;"Возвращена"))&gt;1,"Пересечение","ОК"))))</f>
        <v/>
      </c>
      <c r="H485" s="12">
        <f>IF(OR(B485="",D485=""),"",IF(AND(OR(F485="Выдана",F485="Возвращена"),SUMPRODUCT(($B$2:$B$500=B485)*($D$2:$D$500=D485)*(($F$2:$F$500="Выдана")+($F$2:$F$500="Возвращена")))&gt;1),"Дубль",""))</f>
        <v/>
      </c>
      <c r="I485" s="13">
        <f>IF(OR(B485="",COUNT(D485:E485)&lt;2,E485&lt;D485),"",IF(Настройки!$B$6=Настройки!$M$3,INT(E485)-INT(D485)+1,ROUNDUP(ROUND((E485-D485)*24,2)/24,0)))</f>
        <v/>
      </c>
      <c r="J485" s="14" t="n"/>
      <c r="K485" s="15">
        <f>IF(OR(I485="",J485=""),"",IF(F485="Отменена",0,ROUND(I485*J485,2)))</f>
        <v/>
      </c>
      <c r="L485" s="15">
        <f>IF(K485="","",ROUND(K485*Настройки!$B$5,2))</f>
        <v/>
      </c>
      <c r="M485" s="15">
        <f>IF(A485="","",SUMIFS(Начисления!$M$2:$M$1000,Начисления!$F$2:$F$1000,A485))</f>
        <v/>
      </c>
      <c r="N485" s="15">
        <f>IF(A485="","",SUM(K485:M485))</f>
        <v/>
      </c>
      <c r="O485" s="14" t="n"/>
      <c r="P485" s="15">
        <f>IF(A485="","",N485-O485)</f>
        <v/>
      </c>
      <c r="Q485" s="10" t="n"/>
      <c r="R485" s="10" t="n"/>
      <c r="S485" s="16">
        <f>IF(ISNUMBER(D485),D485+TIME(3,0,0),"")</f>
        <v/>
      </c>
      <c r="T485" s="10" t="n"/>
      <c r="U485" s="17">
        <f>IF(OR(B485="",COUNT(D485:E485)&lt;2,E485&lt;D485,F485="Отменена"),0,MAX(0,MIN(E485,Сводка!$B$4)-MAX(D485,Сводка!$B$2)))</f>
        <v/>
      </c>
    </row>
    <row r="486">
      <c r="A486" s="9" t="n"/>
      <c r="B486" s="10" t="n"/>
      <c r="C486" s="10" t="n"/>
      <c r="D486" s="11" t="n"/>
      <c r="E486" s="11" t="n"/>
      <c r="F486" s="10" t="n"/>
      <c r="G486" s="12">
        <f>IF(B486="","",IF(OR(COUNT(D486:E486)&lt;2,E486&lt;D486),"Проверьте даты",IF(OR(F486="Отменена",F486="Возвращена"),"",IF(SUMPRODUCT(($B$2:$B$500=B486)*($D$2:$D$500&lt;=E486)*($E$2:$E$500&gt;=D486)*($F$2:$F$500&lt;&gt;"Отменена")*($F$2:$F$500&lt;&gt;"Возвращена"))&gt;1,"Пересечение","ОК"))))</f>
        <v/>
      </c>
      <c r="H486" s="12">
        <f>IF(OR(B486="",D486=""),"",IF(AND(OR(F486="Выдана",F486="Возвращена"),SUMPRODUCT(($B$2:$B$500=B486)*($D$2:$D$500=D486)*(($F$2:$F$500="Выдана")+($F$2:$F$500="Возвращена")))&gt;1),"Дубль",""))</f>
        <v/>
      </c>
      <c r="I486" s="13">
        <f>IF(OR(B486="",COUNT(D486:E486)&lt;2,E486&lt;D486),"",IF(Настройки!$B$6=Настройки!$M$3,INT(E486)-INT(D486)+1,ROUNDUP(ROUND((E486-D486)*24,2)/24,0)))</f>
        <v/>
      </c>
      <c r="J486" s="14" t="n"/>
      <c r="K486" s="15">
        <f>IF(OR(I486="",J486=""),"",IF(F486="Отменена",0,ROUND(I486*J486,2)))</f>
        <v/>
      </c>
      <c r="L486" s="15">
        <f>IF(K486="","",ROUND(K486*Настройки!$B$5,2))</f>
        <v/>
      </c>
      <c r="M486" s="15">
        <f>IF(A486="","",SUMIFS(Начисления!$M$2:$M$1000,Начисления!$F$2:$F$1000,A486))</f>
        <v/>
      </c>
      <c r="N486" s="15">
        <f>IF(A486="","",SUM(K486:M486))</f>
        <v/>
      </c>
      <c r="O486" s="14" t="n"/>
      <c r="P486" s="15">
        <f>IF(A486="","",N486-O486)</f>
        <v/>
      </c>
      <c r="Q486" s="10" t="n"/>
      <c r="R486" s="10" t="n"/>
      <c r="S486" s="16">
        <f>IF(ISNUMBER(D486),D486+TIME(3,0,0),"")</f>
        <v/>
      </c>
      <c r="T486" s="10" t="n"/>
      <c r="U486" s="17">
        <f>IF(OR(B486="",COUNT(D486:E486)&lt;2,E486&lt;D486,F486="Отменена"),0,MAX(0,MIN(E486,Сводка!$B$4)-MAX(D486,Сводка!$B$2)))</f>
        <v/>
      </c>
    </row>
    <row r="487">
      <c r="A487" s="9" t="n"/>
      <c r="B487" s="10" t="n"/>
      <c r="C487" s="10" t="n"/>
      <c r="D487" s="11" t="n"/>
      <c r="E487" s="11" t="n"/>
      <c r="F487" s="10" t="n"/>
      <c r="G487" s="12">
        <f>IF(B487="","",IF(OR(COUNT(D487:E487)&lt;2,E487&lt;D487),"Проверьте даты",IF(OR(F487="Отменена",F487="Возвращена"),"",IF(SUMPRODUCT(($B$2:$B$500=B487)*($D$2:$D$500&lt;=E487)*($E$2:$E$500&gt;=D487)*($F$2:$F$500&lt;&gt;"Отменена")*($F$2:$F$500&lt;&gt;"Возвращена"))&gt;1,"Пересечение","ОК"))))</f>
        <v/>
      </c>
      <c r="H487" s="12">
        <f>IF(OR(B487="",D487=""),"",IF(AND(OR(F487="Выдана",F487="Возвращена"),SUMPRODUCT(($B$2:$B$500=B487)*($D$2:$D$500=D487)*(($F$2:$F$500="Выдана")+($F$2:$F$500="Возвращена")))&gt;1),"Дубль",""))</f>
        <v/>
      </c>
      <c r="I487" s="13">
        <f>IF(OR(B487="",COUNT(D487:E487)&lt;2,E487&lt;D487),"",IF(Настройки!$B$6=Настройки!$M$3,INT(E487)-INT(D487)+1,ROUNDUP(ROUND((E487-D487)*24,2)/24,0)))</f>
        <v/>
      </c>
      <c r="J487" s="14" t="n"/>
      <c r="K487" s="15">
        <f>IF(OR(I487="",J487=""),"",IF(F487="Отменена",0,ROUND(I487*J487,2)))</f>
        <v/>
      </c>
      <c r="L487" s="15">
        <f>IF(K487="","",ROUND(K487*Настройки!$B$5,2))</f>
        <v/>
      </c>
      <c r="M487" s="15">
        <f>IF(A487="","",SUMIFS(Начисления!$M$2:$M$1000,Начисления!$F$2:$F$1000,A487))</f>
        <v/>
      </c>
      <c r="N487" s="15">
        <f>IF(A487="","",SUM(K487:M487))</f>
        <v/>
      </c>
      <c r="O487" s="14" t="n"/>
      <c r="P487" s="15">
        <f>IF(A487="","",N487-O487)</f>
        <v/>
      </c>
      <c r="Q487" s="10" t="n"/>
      <c r="R487" s="10" t="n"/>
      <c r="S487" s="16">
        <f>IF(ISNUMBER(D487),D487+TIME(3,0,0),"")</f>
        <v/>
      </c>
      <c r="T487" s="10" t="n"/>
      <c r="U487" s="17">
        <f>IF(OR(B487="",COUNT(D487:E487)&lt;2,E487&lt;D487,F487="Отменена"),0,MAX(0,MIN(E487,Сводка!$B$4)-MAX(D487,Сводка!$B$2)))</f>
        <v/>
      </c>
    </row>
    <row r="488">
      <c r="A488" s="9" t="n"/>
      <c r="B488" s="10" t="n"/>
      <c r="C488" s="10" t="n"/>
      <c r="D488" s="11" t="n"/>
      <c r="E488" s="11" t="n"/>
      <c r="F488" s="10" t="n"/>
      <c r="G488" s="12">
        <f>IF(B488="","",IF(OR(COUNT(D488:E488)&lt;2,E488&lt;D488),"Проверьте даты",IF(OR(F488="Отменена",F488="Возвращена"),"",IF(SUMPRODUCT(($B$2:$B$500=B488)*($D$2:$D$500&lt;=E488)*($E$2:$E$500&gt;=D488)*($F$2:$F$500&lt;&gt;"Отменена")*($F$2:$F$500&lt;&gt;"Возвращена"))&gt;1,"Пересечение","ОК"))))</f>
        <v/>
      </c>
      <c r="H488" s="12">
        <f>IF(OR(B488="",D488=""),"",IF(AND(OR(F488="Выдана",F488="Возвращена"),SUMPRODUCT(($B$2:$B$500=B488)*($D$2:$D$500=D488)*(($F$2:$F$500="Выдана")+($F$2:$F$500="Возвращена")))&gt;1),"Дубль",""))</f>
        <v/>
      </c>
      <c r="I488" s="13">
        <f>IF(OR(B488="",COUNT(D488:E488)&lt;2,E488&lt;D488),"",IF(Настройки!$B$6=Настройки!$M$3,INT(E488)-INT(D488)+1,ROUNDUP(ROUND((E488-D488)*24,2)/24,0)))</f>
        <v/>
      </c>
      <c r="J488" s="14" t="n"/>
      <c r="K488" s="15">
        <f>IF(OR(I488="",J488=""),"",IF(F488="Отменена",0,ROUND(I488*J488,2)))</f>
        <v/>
      </c>
      <c r="L488" s="15">
        <f>IF(K488="","",ROUND(K488*Настройки!$B$5,2))</f>
        <v/>
      </c>
      <c r="M488" s="15">
        <f>IF(A488="","",SUMIFS(Начисления!$M$2:$M$1000,Начисления!$F$2:$F$1000,A488))</f>
        <v/>
      </c>
      <c r="N488" s="15">
        <f>IF(A488="","",SUM(K488:M488))</f>
        <v/>
      </c>
      <c r="O488" s="14" t="n"/>
      <c r="P488" s="15">
        <f>IF(A488="","",N488-O488)</f>
        <v/>
      </c>
      <c r="Q488" s="10" t="n"/>
      <c r="R488" s="10" t="n"/>
      <c r="S488" s="16">
        <f>IF(ISNUMBER(D488),D488+TIME(3,0,0),"")</f>
        <v/>
      </c>
      <c r="T488" s="10" t="n"/>
      <c r="U488" s="17">
        <f>IF(OR(B488="",COUNT(D488:E488)&lt;2,E488&lt;D488,F488="Отменена"),0,MAX(0,MIN(E488,Сводка!$B$4)-MAX(D488,Сводка!$B$2)))</f>
        <v/>
      </c>
    </row>
    <row r="489">
      <c r="A489" s="9" t="n"/>
      <c r="B489" s="10" t="n"/>
      <c r="C489" s="10" t="n"/>
      <c r="D489" s="11" t="n"/>
      <c r="E489" s="11" t="n"/>
      <c r="F489" s="10" t="n"/>
      <c r="G489" s="12">
        <f>IF(B489="","",IF(OR(COUNT(D489:E489)&lt;2,E489&lt;D489),"Проверьте даты",IF(OR(F489="Отменена",F489="Возвращена"),"",IF(SUMPRODUCT(($B$2:$B$500=B489)*($D$2:$D$500&lt;=E489)*($E$2:$E$500&gt;=D489)*($F$2:$F$500&lt;&gt;"Отменена")*($F$2:$F$500&lt;&gt;"Возвращена"))&gt;1,"Пересечение","ОК"))))</f>
        <v/>
      </c>
      <c r="H489" s="12">
        <f>IF(OR(B489="",D489=""),"",IF(AND(OR(F489="Выдана",F489="Возвращена"),SUMPRODUCT(($B$2:$B$500=B489)*($D$2:$D$500=D489)*(($F$2:$F$500="Выдана")+($F$2:$F$500="Возвращена")))&gt;1),"Дубль",""))</f>
        <v/>
      </c>
      <c r="I489" s="13">
        <f>IF(OR(B489="",COUNT(D489:E489)&lt;2,E489&lt;D489),"",IF(Настройки!$B$6=Настройки!$M$3,INT(E489)-INT(D489)+1,ROUNDUP(ROUND((E489-D489)*24,2)/24,0)))</f>
        <v/>
      </c>
      <c r="J489" s="14" t="n"/>
      <c r="K489" s="15">
        <f>IF(OR(I489="",J489=""),"",IF(F489="Отменена",0,ROUND(I489*J489,2)))</f>
        <v/>
      </c>
      <c r="L489" s="15">
        <f>IF(K489="","",ROUND(K489*Настройки!$B$5,2))</f>
        <v/>
      </c>
      <c r="M489" s="15">
        <f>IF(A489="","",SUMIFS(Начисления!$M$2:$M$1000,Начисления!$F$2:$F$1000,A489))</f>
        <v/>
      </c>
      <c r="N489" s="15">
        <f>IF(A489="","",SUM(K489:M489))</f>
        <v/>
      </c>
      <c r="O489" s="14" t="n"/>
      <c r="P489" s="15">
        <f>IF(A489="","",N489-O489)</f>
        <v/>
      </c>
      <c r="Q489" s="10" t="n"/>
      <c r="R489" s="10" t="n"/>
      <c r="S489" s="16">
        <f>IF(ISNUMBER(D489),D489+TIME(3,0,0),"")</f>
        <v/>
      </c>
      <c r="T489" s="10" t="n"/>
      <c r="U489" s="17">
        <f>IF(OR(B489="",COUNT(D489:E489)&lt;2,E489&lt;D489,F489="Отменена"),0,MAX(0,MIN(E489,Сводка!$B$4)-MAX(D489,Сводка!$B$2)))</f>
        <v/>
      </c>
    </row>
    <row r="490">
      <c r="A490" s="9" t="n"/>
      <c r="B490" s="10" t="n"/>
      <c r="C490" s="10" t="n"/>
      <c r="D490" s="11" t="n"/>
      <c r="E490" s="11" t="n"/>
      <c r="F490" s="10" t="n"/>
      <c r="G490" s="12">
        <f>IF(B490="","",IF(OR(COUNT(D490:E490)&lt;2,E490&lt;D490),"Проверьте даты",IF(OR(F490="Отменена",F490="Возвращена"),"",IF(SUMPRODUCT(($B$2:$B$500=B490)*($D$2:$D$500&lt;=E490)*($E$2:$E$500&gt;=D490)*($F$2:$F$500&lt;&gt;"Отменена")*($F$2:$F$500&lt;&gt;"Возвращена"))&gt;1,"Пересечение","ОК"))))</f>
        <v/>
      </c>
      <c r="H490" s="12">
        <f>IF(OR(B490="",D490=""),"",IF(AND(OR(F490="Выдана",F490="Возвращена"),SUMPRODUCT(($B$2:$B$500=B490)*($D$2:$D$500=D490)*(($F$2:$F$500="Выдана")+($F$2:$F$500="Возвращена")))&gt;1),"Дубль",""))</f>
        <v/>
      </c>
      <c r="I490" s="13">
        <f>IF(OR(B490="",COUNT(D490:E490)&lt;2,E490&lt;D490),"",IF(Настройки!$B$6=Настройки!$M$3,INT(E490)-INT(D490)+1,ROUNDUP(ROUND((E490-D490)*24,2)/24,0)))</f>
        <v/>
      </c>
      <c r="J490" s="14" t="n"/>
      <c r="K490" s="15">
        <f>IF(OR(I490="",J490=""),"",IF(F490="Отменена",0,ROUND(I490*J490,2)))</f>
        <v/>
      </c>
      <c r="L490" s="15">
        <f>IF(K490="","",ROUND(K490*Настройки!$B$5,2))</f>
        <v/>
      </c>
      <c r="M490" s="15">
        <f>IF(A490="","",SUMIFS(Начисления!$M$2:$M$1000,Начисления!$F$2:$F$1000,A490))</f>
        <v/>
      </c>
      <c r="N490" s="15">
        <f>IF(A490="","",SUM(K490:M490))</f>
        <v/>
      </c>
      <c r="O490" s="14" t="n"/>
      <c r="P490" s="15">
        <f>IF(A490="","",N490-O490)</f>
        <v/>
      </c>
      <c r="Q490" s="10" t="n"/>
      <c r="R490" s="10" t="n"/>
      <c r="S490" s="16">
        <f>IF(ISNUMBER(D490),D490+TIME(3,0,0),"")</f>
        <v/>
      </c>
      <c r="T490" s="10" t="n"/>
      <c r="U490" s="17">
        <f>IF(OR(B490="",COUNT(D490:E490)&lt;2,E490&lt;D490,F490="Отменена"),0,MAX(0,MIN(E490,Сводка!$B$4)-MAX(D490,Сводка!$B$2)))</f>
        <v/>
      </c>
    </row>
    <row r="491">
      <c r="A491" s="9" t="n"/>
      <c r="B491" s="10" t="n"/>
      <c r="C491" s="10" t="n"/>
      <c r="D491" s="11" t="n"/>
      <c r="E491" s="11" t="n"/>
      <c r="F491" s="10" t="n"/>
      <c r="G491" s="12">
        <f>IF(B491="","",IF(OR(COUNT(D491:E491)&lt;2,E491&lt;D491),"Проверьте даты",IF(OR(F491="Отменена",F491="Возвращена"),"",IF(SUMPRODUCT(($B$2:$B$500=B491)*($D$2:$D$500&lt;=E491)*($E$2:$E$500&gt;=D491)*($F$2:$F$500&lt;&gt;"Отменена")*($F$2:$F$500&lt;&gt;"Возвращена"))&gt;1,"Пересечение","ОК"))))</f>
        <v/>
      </c>
      <c r="H491" s="12">
        <f>IF(OR(B491="",D491=""),"",IF(AND(OR(F491="Выдана",F491="Возвращена"),SUMPRODUCT(($B$2:$B$500=B491)*($D$2:$D$500=D491)*(($F$2:$F$500="Выдана")+($F$2:$F$500="Возвращена")))&gt;1),"Дубль",""))</f>
        <v/>
      </c>
      <c r="I491" s="13">
        <f>IF(OR(B491="",COUNT(D491:E491)&lt;2,E491&lt;D491),"",IF(Настройки!$B$6=Настройки!$M$3,INT(E491)-INT(D491)+1,ROUNDUP(ROUND((E491-D491)*24,2)/24,0)))</f>
        <v/>
      </c>
      <c r="J491" s="14" t="n"/>
      <c r="K491" s="15">
        <f>IF(OR(I491="",J491=""),"",IF(F491="Отменена",0,ROUND(I491*J491,2)))</f>
        <v/>
      </c>
      <c r="L491" s="15">
        <f>IF(K491="","",ROUND(K491*Настройки!$B$5,2))</f>
        <v/>
      </c>
      <c r="M491" s="15">
        <f>IF(A491="","",SUMIFS(Начисления!$M$2:$M$1000,Начисления!$F$2:$F$1000,A491))</f>
        <v/>
      </c>
      <c r="N491" s="15">
        <f>IF(A491="","",SUM(K491:M491))</f>
        <v/>
      </c>
      <c r="O491" s="14" t="n"/>
      <c r="P491" s="15">
        <f>IF(A491="","",N491-O491)</f>
        <v/>
      </c>
      <c r="Q491" s="10" t="n"/>
      <c r="R491" s="10" t="n"/>
      <c r="S491" s="16">
        <f>IF(ISNUMBER(D491),D491+TIME(3,0,0),"")</f>
        <v/>
      </c>
      <c r="T491" s="10" t="n"/>
      <c r="U491" s="17">
        <f>IF(OR(B491="",COUNT(D491:E491)&lt;2,E491&lt;D491,F491="Отменена"),0,MAX(0,MIN(E491,Сводка!$B$4)-MAX(D491,Сводка!$B$2)))</f>
        <v/>
      </c>
    </row>
    <row r="492">
      <c r="A492" s="9" t="n"/>
      <c r="B492" s="10" t="n"/>
      <c r="C492" s="10" t="n"/>
      <c r="D492" s="11" t="n"/>
      <c r="E492" s="11" t="n"/>
      <c r="F492" s="10" t="n"/>
      <c r="G492" s="12">
        <f>IF(B492="","",IF(OR(COUNT(D492:E492)&lt;2,E492&lt;D492),"Проверьте даты",IF(OR(F492="Отменена",F492="Возвращена"),"",IF(SUMPRODUCT(($B$2:$B$500=B492)*($D$2:$D$500&lt;=E492)*($E$2:$E$500&gt;=D492)*($F$2:$F$500&lt;&gt;"Отменена")*($F$2:$F$500&lt;&gt;"Возвращена"))&gt;1,"Пересечение","ОК"))))</f>
        <v/>
      </c>
      <c r="H492" s="12">
        <f>IF(OR(B492="",D492=""),"",IF(AND(OR(F492="Выдана",F492="Возвращена"),SUMPRODUCT(($B$2:$B$500=B492)*($D$2:$D$500=D492)*(($F$2:$F$500="Выдана")+($F$2:$F$500="Возвращена")))&gt;1),"Дубль",""))</f>
        <v/>
      </c>
      <c r="I492" s="13">
        <f>IF(OR(B492="",COUNT(D492:E492)&lt;2,E492&lt;D492),"",IF(Настройки!$B$6=Настройки!$M$3,INT(E492)-INT(D492)+1,ROUNDUP(ROUND((E492-D492)*24,2)/24,0)))</f>
        <v/>
      </c>
      <c r="J492" s="14" t="n"/>
      <c r="K492" s="15">
        <f>IF(OR(I492="",J492=""),"",IF(F492="Отменена",0,ROUND(I492*J492,2)))</f>
        <v/>
      </c>
      <c r="L492" s="15">
        <f>IF(K492="","",ROUND(K492*Настройки!$B$5,2))</f>
        <v/>
      </c>
      <c r="M492" s="15">
        <f>IF(A492="","",SUMIFS(Начисления!$M$2:$M$1000,Начисления!$F$2:$F$1000,A492))</f>
        <v/>
      </c>
      <c r="N492" s="15">
        <f>IF(A492="","",SUM(K492:M492))</f>
        <v/>
      </c>
      <c r="O492" s="14" t="n"/>
      <c r="P492" s="15">
        <f>IF(A492="","",N492-O492)</f>
        <v/>
      </c>
      <c r="Q492" s="10" t="n"/>
      <c r="R492" s="10" t="n"/>
      <c r="S492" s="16">
        <f>IF(ISNUMBER(D492),D492+TIME(3,0,0),"")</f>
        <v/>
      </c>
      <c r="T492" s="10" t="n"/>
      <c r="U492" s="17">
        <f>IF(OR(B492="",COUNT(D492:E492)&lt;2,E492&lt;D492,F492="Отменена"),0,MAX(0,MIN(E492,Сводка!$B$4)-MAX(D492,Сводка!$B$2)))</f>
        <v/>
      </c>
    </row>
    <row r="493">
      <c r="A493" s="9" t="n"/>
      <c r="B493" s="10" t="n"/>
      <c r="C493" s="10" t="n"/>
      <c r="D493" s="11" t="n"/>
      <c r="E493" s="11" t="n"/>
      <c r="F493" s="10" t="n"/>
      <c r="G493" s="12">
        <f>IF(B493="","",IF(OR(COUNT(D493:E493)&lt;2,E493&lt;D493),"Проверьте даты",IF(OR(F493="Отменена",F493="Возвращена"),"",IF(SUMPRODUCT(($B$2:$B$500=B493)*($D$2:$D$500&lt;=E493)*($E$2:$E$500&gt;=D493)*($F$2:$F$500&lt;&gt;"Отменена")*($F$2:$F$500&lt;&gt;"Возвращена"))&gt;1,"Пересечение","ОК"))))</f>
        <v/>
      </c>
      <c r="H493" s="12">
        <f>IF(OR(B493="",D493=""),"",IF(AND(OR(F493="Выдана",F493="Возвращена"),SUMPRODUCT(($B$2:$B$500=B493)*($D$2:$D$500=D493)*(($F$2:$F$500="Выдана")+($F$2:$F$500="Возвращена")))&gt;1),"Дубль",""))</f>
        <v/>
      </c>
      <c r="I493" s="13">
        <f>IF(OR(B493="",COUNT(D493:E493)&lt;2,E493&lt;D493),"",IF(Настройки!$B$6=Настройки!$M$3,INT(E493)-INT(D493)+1,ROUNDUP(ROUND((E493-D493)*24,2)/24,0)))</f>
        <v/>
      </c>
      <c r="J493" s="14" t="n"/>
      <c r="K493" s="15">
        <f>IF(OR(I493="",J493=""),"",IF(F493="Отменена",0,ROUND(I493*J493,2)))</f>
        <v/>
      </c>
      <c r="L493" s="15">
        <f>IF(K493="","",ROUND(K493*Настройки!$B$5,2))</f>
        <v/>
      </c>
      <c r="M493" s="15">
        <f>IF(A493="","",SUMIFS(Начисления!$M$2:$M$1000,Начисления!$F$2:$F$1000,A493))</f>
        <v/>
      </c>
      <c r="N493" s="15">
        <f>IF(A493="","",SUM(K493:M493))</f>
        <v/>
      </c>
      <c r="O493" s="14" t="n"/>
      <c r="P493" s="15">
        <f>IF(A493="","",N493-O493)</f>
        <v/>
      </c>
      <c r="Q493" s="10" t="n"/>
      <c r="R493" s="10" t="n"/>
      <c r="S493" s="16">
        <f>IF(ISNUMBER(D493),D493+TIME(3,0,0),"")</f>
        <v/>
      </c>
      <c r="T493" s="10" t="n"/>
      <c r="U493" s="17">
        <f>IF(OR(B493="",COUNT(D493:E493)&lt;2,E493&lt;D493,F493="Отменена"),0,MAX(0,MIN(E493,Сводка!$B$4)-MAX(D493,Сводка!$B$2)))</f>
        <v/>
      </c>
    </row>
    <row r="494">
      <c r="A494" s="9" t="n"/>
      <c r="B494" s="10" t="n"/>
      <c r="C494" s="10" t="n"/>
      <c r="D494" s="11" t="n"/>
      <c r="E494" s="11" t="n"/>
      <c r="F494" s="10" t="n"/>
      <c r="G494" s="12">
        <f>IF(B494="","",IF(OR(COUNT(D494:E494)&lt;2,E494&lt;D494),"Проверьте даты",IF(OR(F494="Отменена",F494="Возвращена"),"",IF(SUMPRODUCT(($B$2:$B$500=B494)*($D$2:$D$500&lt;=E494)*($E$2:$E$500&gt;=D494)*($F$2:$F$500&lt;&gt;"Отменена")*($F$2:$F$500&lt;&gt;"Возвращена"))&gt;1,"Пересечение","ОК"))))</f>
        <v/>
      </c>
      <c r="H494" s="12">
        <f>IF(OR(B494="",D494=""),"",IF(AND(OR(F494="Выдана",F494="Возвращена"),SUMPRODUCT(($B$2:$B$500=B494)*($D$2:$D$500=D494)*(($F$2:$F$500="Выдана")+($F$2:$F$500="Возвращена")))&gt;1),"Дубль",""))</f>
        <v/>
      </c>
      <c r="I494" s="13">
        <f>IF(OR(B494="",COUNT(D494:E494)&lt;2,E494&lt;D494),"",IF(Настройки!$B$6=Настройки!$M$3,INT(E494)-INT(D494)+1,ROUNDUP(ROUND((E494-D494)*24,2)/24,0)))</f>
        <v/>
      </c>
      <c r="J494" s="14" t="n"/>
      <c r="K494" s="15">
        <f>IF(OR(I494="",J494=""),"",IF(F494="Отменена",0,ROUND(I494*J494,2)))</f>
        <v/>
      </c>
      <c r="L494" s="15">
        <f>IF(K494="","",ROUND(K494*Настройки!$B$5,2))</f>
        <v/>
      </c>
      <c r="M494" s="15">
        <f>IF(A494="","",SUMIFS(Начисления!$M$2:$M$1000,Начисления!$F$2:$F$1000,A494))</f>
        <v/>
      </c>
      <c r="N494" s="15">
        <f>IF(A494="","",SUM(K494:M494))</f>
        <v/>
      </c>
      <c r="O494" s="14" t="n"/>
      <c r="P494" s="15">
        <f>IF(A494="","",N494-O494)</f>
        <v/>
      </c>
      <c r="Q494" s="10" t="n"/>
      <c r="R494" s="10" t="n"/>
      <c r="S494" s="16">
        <f>IF(ISNUMBER(D494),D494+TIME(3,0,0),"")</f>
        <v/>
      </c>
      <c r="T494" s="10" t="n"/>
      <c r="U494" s="17">
        <f>IF(OR(B494="",COUNT(D494:E494)&lt;2,E494&lt;D494,F494="Отменена"),0,MAX(0,MIN(E494,Сводка!$B$4)-MAX(D494,Сводка!$B$2)))</f>
        <v/>
      </c>
    </row>
    <row r="495">
      <c r="A495" s="9" t="n"/>
      <c r="B495" s="10" t="n"/>
      <c r="C495" s="10" t="n"/>
      <c r="D495" s="11" t="n"/>
      <c r="E495" s="11" t="n"/>
      <c r="F495" s="10" t="n"/>
      <c r="G495" s="12">
        <f>IF(B495="","",IF(OR(COUNT(D495:E495)&lt;2,E495&lt;D495),"Проверьте даты",IF(OR(F495="Отменена",F495="Возвращена"),"",IF(SUMPRODUCT(($B$2:$B$500=B495)*($D$2:$D$500&lt;=E495)*($E$2:$E$500&gt;=D495)*($F$2:$F$500&lt;&gt;"Отменена")*($F$2:$F$500&lt;&gt;"Возвращена"))&gt;1,"Пересечение","ОК"))))</f>
        <v/>
      </c>
      <c r="H495" s="12">
        <f>IF(OR(B495="",D495=""),"",IF(AND(OR(F495="Выдана",F495="Возвращена"),SUMPRODUCT(($B$2:$B$500=B495)*($D$2:$D$500=D495)*(($F$2:$F$500="Выдана")+($F$2:$F$500="Возвращена")))&gt;1),"Дубль",""))</f>
        <v/>
      </c>
      <c r="I495" s="13">
        <f>IF(OR(B495="",COUNT(D495:E495)&lt;2,E495&lt;D495),"",IF(Настройки!$B$6=Настройки!$M$3,INT(E495)-INT(D495)+1,ROUNDUP(ROUND((E495-D495)*24,2)/24,0)))</f>
        <v/>
      </c>
      <c r="J495" s="14" t="n"/>
      <c r="K495" s="15">
        <f>IF(OR(I495="",J495=""),"",IF(F495="Отменена",0,ROUND(I495*J495,2)))</f>
        <v/>
      </c>
      <c r="L495" s="15">
        <f>IF(K495="","",ROUND(K495*Настройки!$B$5,2))</f>
        <v/>
      </c>
      <c r="M495" s="15">
        <f>IF(A495="","",SUMIFS(Начисления!$M$2:$M$1000,Начисления!$F$2:$F$1000,A495))</f>
        <v/>
      </c>
      <c r="N495" s="15">
        <f>IF(A495="","",SUM(K495:M495))</f>
        <v/>
      </c>
      <c r="O495" s="14" t="n"/>
      <c r="P495" s="15">
        <f>IF(A495="","",N495-O495)</f>
        <v/>
      </c>
      <c r="Q495" s="10" t="n"/>
      <c r="R495" s="10" t="n"/>
      <c r="S495" s="16">
        <f>IF(ISNUMBER(D495),D495+TIME(3,0,0),"")</f>
        <v/>
      </c>
      <c r="T495" s="10" t="n"/>
      <c r="U495" s="17">
        <f>IF(OR(B495="",COUNT(D495:E495)&lt;2,E495&lt;D495,F495="Отменена"),0,MAX(0,MIN(E495,Сводка!$B$4)-MAX(D495,Сводка!$B$2)))</f>
        <v/>
      </c>
    </row>
    <row r="496">
      <c r="A496" s="9" t="n"/>
      <c r="B496" s="10" t="n"/>
      <c r="C496" s="10" t="n"/>
      <c r="D496" s="11" t="n"/>
      <c r="E496" s="11" t="n"/>
      <c r="F496" s="10" t="n"/>
      <c r="G496" s="12">
        <f>IF(B496="","",IF(OR(COUNT(D496:E496)&lt;2,E496&lt;D496),"Проверьте даты",IF(OR(F496="Отменена",F496="Возвращена"),"",IF(SUMPRODUCT(($B$2:$B$500=B496)*($D$2:$D$500&lt;=E496)*($E$2:$E$500&gt;=D496)*($F$2:$F$500&lt;&gt;"Отменена")*($F$2:$F$500&lt;&gt;"Возвращена"))&gt;1,"Пересечение","ОК"))))</f>
        <v/>
      </c>
      <c r="H496" s="12">
        <f>IF(OR(B496="",D496=""),"",IF(AND(OR(F496="Выдана",F496="Возвращена"),SUMPRODUCT(($B$2:$B$500=B496)*($D$2:$D$500=D496)*(($F$2:$F$500="Выдана")+($F$2:$F$500="Возвращена")))&gt;1),"Дубль",""))</f>
        <v/>
      </c>
      <c r="I496" s="13">
        <f>IF(OR(B496="",COUNT(D496:E496)&lt;2,E496&lt;D496),"",IF(Настройки!$B$6=Настройки!$M$3,INT(E496)-INT(D496)+1,ROUNDUP(ROUND((E496-D496)*24,2)/24,0)))</f>
        <v/>
      </c>
      <c r="J496" s="14" t="n"/>
      <c r="K496" s="15">
        <f>IF(OR(I496="",J496=""),"",IF(F496="Отменена",0,ROUND(I496*J496,2)))</f>
        <v/>
      </c>
      <c r="L496" s="15">
        <f>IF(K496="","",ROUND(K496*Настройки!$B$5,2))</f>
        <v/>
      </c>
      <c r="M496" s="15">
        <f>IF(A496="","",SUMIFS(Начисления!$M$2:$M$1000,Начисления!$F$2:$F$1000,A496))</f>
        <v/>
      </c>
      <c r="N496" s="15">
        <f>IF(A496="","",SUM(K496:M496))</f>
        <v/>
      </c>
      <c r="O496" s="14" t="n"/>
      <c r="P496" s="15">
        <f>IF(A496="","",N496-O496)</f>
        <v/>
      </c>
      <c r="Q496" s="10" t="n"/>
      <c r="R496" s="10" t="n"/>
      <c r="S496" s="16">
        <f>IF(ISNUMBER(D496),D496+TIME(3,0,0),"")</f>
        <v/>
      </c>
      <c r="T496" s="10" t="n"/>
      <c r="U496" s="17">
        <f>IF(OR(B496="",COUNT(D496:E496)&lt;2,E496&lt;D496,F496="Отменена"),0,MAX(0,MIN(E496,Сводка!$B$4)-MAX(D496,Сводка!$B$2)))</f>
        <v/>
      </c>
    </row>
    <row r="497">
      <c r="A497" s="9" t="n"/>
      <c r="B497" s="10" t="n"/>
      <c r="C497" s="10" t="n"/>
      <c r="D497" s="11" t="n"/>
      <c r="E497" s="11" t="n"/>
      <c r="F497" s="10" t="n"/>
      <c r="G497" s="12">
        <f>IF(B497="","",IF(OR(COUNT(D497:E497)&lt;2,E497&lt;D497),"Проверьте даты",IF(OR(F497="Отменена",F497="Возвращена"),"",IF(SUMPRODUCT(($B$2:$B$500=B497)*($D$2:$D$500&lt;=E497)*($E$2:$E$500&gt;=D497)*($F$2:$F$500&lt;&gt;"Отменена")*($F$2:$F$500&lt;&gt;"Возвращена"))&gt;1,"Пересечение","ОК"))))</f>
        <v/>
      </c>
      <c r="H497" s="12">
        <f>IF(OR(B497="",D497=""),"",IF(AND(OR(F497="Выдана",F497="Возвращена"),SUMPRODUCT(($B$2:$B$500=B497)*($D$2:$D$500=D497)*(($F$2:$F$500="Выдана")+($F$2:$F$500="Возвращена")))&gt;1),"Дубль",""))</f>
        <v/>
      </c>
      <c r="I497" s="13">
        <f>IF(OR(B497="",COUNT(D497:E497)&lt;2,E497&lt;D497),"",IF(Настройки!$B$6=Настройки!$M$3,INT(E497)-INT(D497)+1,ROUNDUP(ROUND((E497-D497)*24,2)/24,0)))</f>
        <v/>
      </c>
      <c r="J497" s="14" t="n"/>
      <c r="K497" s="15">
        <f>IF(OR(I497="",J497=""),"",IF(F497="Отменена",0,ROUND(I497*J497,2)))</f>
        <v/>
      </c>
      <c r="L497" s="15">
        <f>IF(K497="","",ROUND(K497*Настройки!$B$5,2))</f>
        <v/>
      </c>
      <c r="M497" s="15">
        <f>IF(A497="","",SUMIFS(Начисления!$M$2:$M$1000,Начисления!$F$2:$F$1000,A497))</f>
        <v/>
      </c>
      <c r="N497" s="15">
        <f>IF(A497="","",SUM(K497:M497))</f>
        <v/>
      </c>
      <c r="O497" s="14" t="n"/>
      <c r="P497" s="15">
        <f>IF(A497="","",N497-O497)</f>
        <v/>
      </c>
      <c r="Q497" s="10" t="n"/>
      <c r="R497" s="10" t="n"/>
      <c r="S497" s="16">
        <f>IF(ISNUMBER(D497),D497+TIME(3,0,0),"")</f>
        <v/>
      </c>
      <c r="T497" s="10" t="n"/>
      <c r="U497" s="17">
        <f>IF(OR(B497="",COUNT(D497:E497)&lt;2,E497&lt;D497,F497="Отменена"),0,MAX(0,MIN(E497,Сводка!$B$4)-MAX(D497,Сводка!$B$2)))</f>
        <v/>
      </c>
    </row>
    <row r="498">
      <c r="A498" s="9" t="n"/>
      <c r="B498" s="10" t="n"/>
      <c r="C498" s="10" t="n"/>
      <c r="D498" s="11" t="n"/>
      <c r="E498" s="11" t="n"/>
      <c r="F498" s="10" t="n"/>
      <c r="G498" s="12">
        <f>IF(B498="","",IF(OR(COUNT(D498:E498)&lt;2,E498&lt;D498),"Проверьте даты",IF(OR(F498="Отменена",F498="Возвращена"),"",IF(SUMPRODUCT(($B$2:$B$500=B498)*($D$2:$D$500&lt;=E498)*($E$2:$E$500&gt;=D498)*($F$2:$F$500&lt;&gt;"Отменена")*($F$2:$F$500&lt;&gt;"Возвращена"))&gt;1,"Пересечение","ОК"))))</f>
        <v/>
      </c>
      <c r="H498" s="12">
        <f>IF(OR(B498="",D498=""),"",IF(AND(OR(F498="Выдана",F498="Возвращена"),SUMPRODUCT(($B$2:$B$500=B498)*($D$2:$D$500=D498)*(($F$2:$F$500="Выдана")+($F$2:$F$500="Возвращена")))&gt;1),"Дубль",""))</f>
        <v/>
      </c>
      <c r="I498" s="13">
        <f>IF(OR(B498="",COUNT(D498:E498)&lt;2,E498&lt;D498),"",IF(Настройки!$B$6=Настройки!$M$3,INT(E498)-INT(D498)+1,ROUNDUP(ROUND((E498-D498)*24,2)/24,0)))</f>
        <v/>
      </c>
      <c r="J498" s="14" t="n"/>
      <c r="K498" s="15">
        <f>IF(OR(I498="",J498=""),"",IF(F498="Отменена",0,ROUND(I498*J498,2)))</f>
        <v/>
      </c>
      <c r="L498" s="15">
        <f>IF(K498="","",ROUND(K498*Настройки!$B$5,2))</f>
        <v/>
      </c>
      <c r="M498" s="15">
        <f>IF(A498="","",SUMIFS(Начисления!$M$2:$M$1000,Начисления!$F$2:$F$1000,A498))</f>
        <v/>
      </c>
      <c r="N498" s="15">
        <f>IF(A498="","",SUM(K498:M498))</f>
        <v/>
      </c>
      <c r="O498" s="14" t="n"/>
      <c r="P498" s="15">
        <f>IF(A498="","",N498-O498)</f>
        <v/>
      </c>
      <c r="Q498" s="10" t="n"/>
      <c r="R498" s="10" t="n"/>
      <c r="S498" s="16">
        <f>IF(ISNUMBER(D498),D498+TIME(3,0,0),"")</f>
        <v/>
      </c>
      <c r="T498" s="10" t="n"/>
      <c r="U498" s="17">
        <f>IF(OR(B498="",COUNT(D498:E498)&lt;2,E498&lt;D498,F498="Отменена"),0,MAX(0,MIN(E498,Сводка!$B$4)-MAX(D498,Сводка!$B$2)))</f>
        <v/>
      </c>
    </row>
    <row r="499">
      <c r="A499" s="9" t="n"/>
      <c r="B499" s="10" t="n"/>
      <c r="C499" s="10" t="n"/>
      <c r="D499" s="11" t="n"/>
      <c r="E499" s="11" t="n"/>
      <c r="F499" s="10" t="n"/>
      <c r="G499" s="12">
        <f>IF(B499="","",IF(OR(COUNT(D499:E499)&lt;2,E499&lt;D499),"Проверьте даты",IF(OR(F499="Отменена",F499="Возвращена"),"",IF(SUMPRODUCT(($B$2:$B$500=B499)*($D$2:$D$500&lt;=E499)*($E$2:$E$500&gt;=D499)*($F$2:$F$500&lt;&gt;"Отменена")*($F$2:$F$500&lt;&gt;"Возвращена"))&gt;1,"Пересечение","ОК"))))</f>
        <v/>
      </c>
      <c r="H499" s="12">
        <f>IF(OR(B499="",D499=""),"",IF(AND(OR(F499="Выдана",F499="Возвращена"),SUMPRODUCT(($B$2:$B$500=B499)*($D$2:$D$500=D499)*(($F$2:$F$500="Выдана")+($F$2:$F$500="Возвращена")))&gt;1),"Дубль",""))</f>
        <v/>
      </c>
      <c r="I499" s="13">
        <f>IF(OR(B499="",COUNT(D499:E499)&lt;2,E499&lt;D499),"",IF(Настройки!$B$6=Настройки!$M$3,INT(E499)-INT(D499)+1,ROUNDUP(ROUND((E499-D499)*24,2)/24,0)))</f>
        <v/>
      </c>
      <c r="J499" s="14" t="n"/>
      <c r="K499" s="15">
        <f>IF(OR(I499="",J499=""),"",IF(F499="Отменена",0,ROUND(I499*J499,2)))</f>
        <v/>
      </c>
      <c r="L499" s="15">
        <f>IF(K499="","",ROUND(K499*Настройки!$B$5,2))</f>
        <v/>
      </c>
      <c r="M499" s="15">
        <f>IF(A499="","",SUMIFS(Начисления!$M$2:$M$1000,Начисления!$F$2:$F$1000,A499))</f>
        <v/>
      </c>
      <c r="N499" s="15">
        <f>IF(A499="","",SUM(K499:M499))</f>
        <v/>
      </c>
      <c r="O499" s="14" t="n"/>
      <c r="P499" s="15">
        <f>IF(A499="","",N499-O499)</f>
        <v/>
      </c>
      <c r="Q499" s="10" t="n"/>
      <c r="R499" s="10" t="n"/>
      <c r="S499" s="16">
        <f>IF(ISNUMBER(D499),D499+TIME(3,0,0),"")</f>
        <v/>
      </c>
      <c r="T499" s="10" t="n"/>
      <c r="U499" s="17">
        <f>IF(OR(B499="",COUNT(D499:E499)&lt;2,E499&lt;D499,F499="Отменена"),0,MAX(0,MIN(E499,Сводка!$B$4)-MAX(D499,Сводка!$B$2)))</f>
        <v/>
      </c>
    </row>
    <row r="500">
      <c r="A500" s="9" t="n"/>
      <c r="B500" s="10" t="n"/>
      <c r="C500" s="10" t="n"/>
      <c r="D500" s="11" t="n"/>
      <c r="E500" s="11" t="n"/>
      <c r="F500" s="10" t="n"/>
      <c r="G500" s="12">
        <f>IF(B500="","",IF(OR(COUNT(D500:E500)&lt;2,E500&lt;D500),"Проверьте даты",IF(OR(F500="Отменена",F500="Возвращена"),"",IF(SUMPRODUCT(($B$2:$B$500=B500)*($D$2:$D$500&lt;=E500)*($E$2:$E$500&gt;=D500)*($F$2:$F$500&lt;&gt;"Отменена")*($F$2:$F$500&lt;&gt;"Возвращена"))&gt;1,"Пересечение","ОК"))))</f>
        <v/>
      </c>
      <c r="H500" s="12">
        <f>IF(OR(B500="",D500=""),"",IF(AND(OR(F500="Выдана",F500="Возвращена"),SUMPRODUCT(($B$2:$B$500=B500)*($D$2:$D$500=D500)*(($F$2:$F$500="Выдана")+($F$2:$F$500="Возвращена")))&gt;1),"Дубль",""))</f>
        <v/>
      </c>
      <c r="I500" s="13">
        <f>IF(OR(B500="",COUNT(D500:E500)&lt;2,E500&lt;D500),"",IF(Настройки!$B$6=Настройки!$M$3,INT(E500)-INT(D500)+1,ROUNDUP(ROUND((E500-D500)*24,2)/24,0)))</f>
        <v/>
      </c>
      <c r="J500" s="14" t="n"/>
      <c r="K500" s="15">
        <f>IF(OR(I500="",J500=""),"",IF(F500="Отменена",0,ROUND(I500*J500,2)))</f>
        <v/>
      </c>
      <c r="L500" s="15">
        <f>IF(K500="","",ROUND(K500*Настройки!$B$5,2))</f>
        <v/>
      </c>
      <c r="M500" s="15">
        <f>IF(A500="","",SUMIFS(Начисления!$M$2:$M$1000,Начисления!$F$2:$F$1000,A500))</f>
        <v/>
      </c>
      <c r="N500" s="15">
        <f>IF(A500="","",SUM(K500:M500))</f>
        <v/>
      </c>
      <c r="O500" s="14" t="n"/>
      <c r="P500" s="15">
        <f>IF(A500="","",N500-O500)</f>
        <v/>
      </c>
      <c r="Q500" s="10" t="n"/>
      <c r="R500" s="10" t="n"/>
      <c r="S500" s="16">
        <f>IF(ISNUMBER(D500),D500+TIME(3,0,0),"")</f>
        <v/>
      </c>
      <c r="T500" s="10" t="n"/>
      <c r="U500" s="17">
        <f>IF(OR(B500="",COUNT(D500:E500)&lt;2,E500&lt;D500,F500="Отменена"),0,MAX(0,MIN(E500,Сводка!$B$4)-MAX(D500,Сводка!$B$2)))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U500"/>
  <conditionalFormatting sqref="G2:G500">
    <cfRule type="expression" priority="1" dxfId="0">
      <formula>OR($G2="Пересечение",$G2="Проверьте даты")</formula>
    </cfRule>
    <cfRule type="expression" priority="2" dxfId="1">
      <formula>$G2="ОК"</formula>
    </cfRule>
  </conditionalFormatting>
  <conditionalFormatting sqref="H2:H500">
    <cfRule type="expression" priority="3" dxfId="0">
      <formula>$H2="Дубль"</formula>
    </cfRule>
  </conditionalFormatting>
  <conditionalFormatting sqref="A2:A500">
    <cfRule type="expression" priority="4" dxfId="0">
      <formula>AND($A2&lt;&gt;"",COUNTIF($A$2:$A$500,$A2)&gt;1)</formula>
    </cfRule>
    <cfRule type="expression" priority="5" dxfId="0">
      <formula>AND($A2="",$B2&lt;&gt;"")</formula>
    </cfRule>
  </conditionalFormatting>
  <conditionalFormatting sqref="A2:T500">
    <cfRule type="expression" priority="6" dxfId="2">
      <formula>$R2="пример"</formula>
    </cfRule>
  </conditionalFormatting>
  <dataValidations count="6">
    <dataValidation sqref="A2:A500" showDropDown="0" showInputMessage="0" showErrorMessage="1" allowBlank="1" errorTitle="Проверьте значение" error="Введите целое число" type="whole" operator="greaterThan">
      <formula1>0</formula1>
    </dataValidation>
    <dataValidation sqref="B2:B500" showDropDown="0" showInputMessage="0" showErrorMessage="1" allowBlank="1" errorTitle="Проверьте значение" error="Выберите машину из списка. Машины берутся с листа «Парк»" type="list">
      <formula1>Парк!$A$2:$A$51</formula1>
    </dataValidation>
    <dataValidation sqref="F2:F500" showDropDown="0" showInputMessage="0" showErrorMessage="1" allowBlank="1" errorTitle="Проверьте значение" error="Выберите значение из списка" type="list">
      <formula1>Настройки!$H$2:$H$5</formula1>
    </dataValidation>
    <dataValidation sqref="D2:E500" showDropDown="0" showInputMessage="0" showErrorMessage="1" allowBlank="1" errorTitle="Проверьте значение" error="Введите дату и время, например 2026-10-12 14:30" type="custom">
      <formula1>ISNUMBER(D2)</formula1>
    </dataValidation>
    <dataValidation sqref="J2:J500 O2:O500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  <dataValidation sqref="T2:T500" showDropDown="0" showInputMessage="0" showErrorMessage="1" allowBlank="1" errorTitle="Проверьте значение" error="Выберите значение из списка" type="list">
      <formula1>Настройки!$N$2:$N$3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7" customWidth="1" min="4" max="4"/>
    <col width="12" customWidth="1" min="5" max="5"/>
    <col width="20" customWidth="1" min="6" max="6"/>
    <col width="11" customWidth="1" min="7" max="7"/>
    <col width="11" customWidth="1" min="8" max="8"/>
    <col width="11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8" customWidth="1" min="15" max="15"/>
    <col width="18" customWidth="1" min="16" max="16"/>
  </cols>
  <sheetData>
    <row r="1" ht="48" customHeight="1">
      <c r="A1" s="7" t="inlineStr">
        <is>
          <t>Номер</t>
        </is>
      </c>
      <c r="B1" s="7" t="inlineStr">
        <is>
          <t>Марка</t>
        </is>
      </c>
      <c r="C1" s="7" t="inlineStr">
        <is>
          <t>Модель</t>
        </is>
      </c>
      <c r="D1" s="7" t="inlineStr">
        <is>
          <t>Год</t>
        </is>
      </c>
      <c r="E1" s="7" t="inlineStr">
        <is>
          <t>Цвет</t>
        </is>
      </c>
      <c r="F1" s="7" t="inlineStr">
        <is>
          <t>VIN</t>
        </is>
      </c>
      <c r="G1" s="7" t="inlineStr">
        <is>
          <t>Цена за день</t>
        </is>
      </c>
      <c r="H1" s="7" t="inlineStr">
        <is>
          <t>Цена за неделю</t>
        </is>
      </c>
      <c r="I1" s="7" t="inlineStr">
        <is>
          <t>Цена за месяц</t>
        </is>
      </c>
      <c r="J1" s="7" t="inlineStr">
        <is>
          <t>Страховка до</t>
        </is>
      </c>
      <c r="K1" s="7" t="inlineStr">
        <is>
          <t>Регистрация до</t>
        </is>
      </c>
      <c r="L1" s="7" t="inlineStr">
        <is>
          <t>Следующее обслуживание</t>
        </is>
      </c>
      <c r="M1" s="7" t="inlineStr">
        <is>
          <t>Ручной статус</t>
        </is>
      </c>
      <c r="N1" s="7" t="inlineStr">
        <is>
          <t>Сейчас</t>
        </is>
      </c>
      <c r="O1" s="7" t="inlineStr">
        <is>
          <t>Заметки</t>
        </is>
      </c>
      <c r="P1" s="8" t="inlineStr">
        <is>
          <t>Дней до срока (из «Настроек»; не править)</t>
        </is>
      </c>
    </row>
    <row r="2">
      <c r="A2" s="10" t="inlineStr">
        <is>
          <t>BB 69186</t>
        </is>
      </c>
      <c r="B2" s="10" t="inlineStr">
        <is>
          <t>Toyota</t>
        </is>
      </c>
      <c r="C2" s="10" t="inlineStr">
        <is>
          <t>Corolla</t>
        </is>
      </c>
      <c r="D2" s="9" t="n">
        <v>2023</v>
      </c>
      <c r="E2" s="10" t="inlineStr">
        <is>
          <t>Белый</t>
        </is>
      </c>
      <c r="F2" s="10" t="n"/>
      <c r="G2" s="14" t="n">
        <v>120</v>
      </c>
      <c r="H2" s="14" t="n">
        <v>750</v>
      </c>
      <c r="I2" s="14" t="n">
        <v>2600</v>
      </c>
      <c r="J2" s="18">
        <f>TODAY()+200</f>
        <v/>
      </c>
      <c r="K2" s="18">
        <f>TODAY()+30</f>
        <v/>
      </c>
      <c r="L2" s="18">
        <f>TODAY()+75</f>
        <v/>
      </c>
      <c r="M2" s="10" t="n"/>
      <c r="N2" s="12">
        <f>IF(A2="","",IF(AND(M2&lt;&gt;"",M2&lt;&gt;"Свободна"),M2,IF(COUNTIFS(Брони!$B$2:$B$500,A2,Брони!$F$2:$F$500,"Выдана")&gt;0,"В аренде","Свободна")))</f>
        <v/>
      </c>
      <c r="O2" s="10" t="inlineStr">
        <is>
          <t>пример</t>
        </is>
      </c>
      <c r="P2" s="19">
        <f>Настройки!$B$7</f>
        <v/>
      </c>
    </row>
    <row r="3">
      <c r="A3" s="10" t="inlineStr">
        <is>
          <t>CC 41077</t>
        </is>
      </c>
      <c r="B3" s="10" t="inlineStr">
        <is>
          <t>Nissan</t>
        </is>
      </c>
      <c r="C3" s="10" t="inlineStr">
        <is>
          <t>Sunny</t>
        </is>
      </c>
      <c r="D3" s="9" t="n">
        <v>2022</v>
      </c>
      <c r="E3" s="10" t="inlineStr">
        <is>
          <t>Серебристый</t>
        </is>
      </c>
      <c r="F3" s="10" t="n"/>
      <c r="G3" s="14" t="n">
        <v>100</v>
      </c>
      <c r="H3" s="14" t="n">
        <v>630</v>
      </c>
      <c r="I3" s="14" t="n">
        <v>2200</v>
      </c>
      <c r="J3" s="18">
        <f>TODAY()-5</f>
        <v/>
      </c>
      <c r="K3" s="18">
        <f>TODAY()+150</f>
        <v/>
      </c>
      <c r="L3" s="18">
        <f>TODAY()+10</f>
        <v/>
      </c>
      <c r="M3" s="10" t="n"/>
      <c r="N3" s="12">
        <f>IF(A3="","",IF(AND(M3&lt;&gt;"",M3&lt;&gt;"Свободна"),M3,IF(COUNTIFS(Брони!$B$2:$B$500,A3,Брони!$F$2:$F$500,"Выдана")&gt;0,"В аренде","Свободна")))</f>
        <v/>
      </c>
      <c r="O3" s="10" t="inlineStr">
        <is>
          <t>пример</t>
        </is>
      </c>
      <c r="P3" s="19" t="n"/>
    </row>
    <row r="4">
      <c r="A4" s="10" t="inlineStr">
        <is>
          <t>DD 52340</t>
        </is>
      </c>
      <c r="B4" s="10" t="inlineStr">
        <is>
          <t>Hyundai</t>
        </is>
      </c>
      <c r="C4" s="10" t="inlineStr">
        <is>
          <t>Tucson</t>
        </is>
      </c>
      <c r="D4" s="9" t="n">
        <v>2024</v>
      </c>
      <c r="E4" s="10" t="inlineStr">
        <is>
          <t>Серый</t>
        </is>
      </c>
      <c r="F4" s="10" t="n"/>
      <c r="G4" s="14" t="n">
        <v>150</v>
      </c>
      <c r="H4" s="14" t="n">
        <v>950</v>
      </c>
      <c r="I4" s="14" t="n">
        <v>3300</v>
      </c>
      <c r="J4" s="18">
        <f>TODAY()+120</f>
        <v/>
      </c>
      <c r="K4" s="18">
        <f>TODAY()+300</f>
        <v/>
      </c>
      <c r="L4" s="18">
        <f>TODAY()-2</f>
        <v/>
      </c>
      <c r="M4" s="10" t="n"/>
      <c r="N4" s="12">
        <f>IF(A4="","",IF(AND(M4&lt;&gt;"",M4&lt;&gt;"Свободна"),M4,IF(COUNTIFS(Брони!$B$2:$B$500,A4,Брони!$F$2:$F$500,"Выдана")&gt;0,"В аренде","Свободна")))</f>
        <v/>
      </c>
      <c r="O4" s="10" t="inlineStr">
        <is>
          <t>пример</t>
        </is>
      </c>
      <c r="P4" s="19" t="n"/>
    </row>
    <row r="5">
      <c r="A5" s="10" t="inlineStr">
        <is>
          <t>EE 77012</t>
        </is>
      </c>
      <c r="B5" s="10" t="inlineStr">
        <is>
          <t>Kia</t>
        </is>
      </c>
      <c r="C5" s="10" t="inlineStr">
        <is>
          <t>Sportage</t>
        </is>
      </c>
      <c r="D5" s="9" t="n">
        <v>2023</v>
      </c>
      <c r="E5" s="10" t="inlineStr">
        <is>
          <t>Синий</t>
        </is>
      </c>
      <c r="F5" s="10" t="n"/>
      <c r="G5" s="14" t="n">
        <v>140</v>
      </c>
      <c r="H5" s="14" t="n">
        <v>880</v>
      </c>
      <c r="I5" s="14" t="n">
        <v>3000</v>
      </c>
      <c r="J5" s="18">
        <f>TODAY()+40</f>
        <v/>
      </c>
      <c r="K5" s="18">
        <f>TODAY()+90</f>
        <v/>
      </c>
      <c r="L5" s="18">
        <f>TODAY()+180</f>
        <v/>
      </c>
      <c r="M5" s="10" t="inlineStr">
        <is>
          <t>В ремонте</t>
        </is>
      </c>
      <c r="N5" s="12">
        <f>IF(A5="","",IF(AND(M5&lt;&gt;"",M5&lt;&gt;"Свободна"),M5,IF(COUNTIFS(Брони!$B$2:$B$500,A5,Брони!$F$2:$F$500,"Выдана")&gt;0,"В аренде","Свободна")))</f>
        <v/>
      </c>
      <c r="O5" s="10" t="inlineStr">
        <is>
          <t>пример</t>
        </is>
      </c>
      <c r="P5" s="19" t="n"/>
    </row>
    <row r="6">
      <c r="A6" s="10" t="n"/>
      <c r="B6" s="10" t="n"/>
      <c r="C6" s="10" t="n"/>
      <c r="D6" s="9" t="n"/>
      <c r="E6" s="10" t="n"/>
      <c r="F6" s="10" t="n"/>
      <c r="G6" s="14" t="n"/>
      <c r="H6" s="14" t="n"/>
      <c r="I6" s="14" t="n"/>
      <c r="J6" s="18" t="n"/>
      <c r="K6" s="18" t="n"/>
      <c r="L6" s="18" t="n"/>
      <c r="M6" s="10" t="n"/>
      <c r="N6" s="12">
        <f>IF(A6="","",IF(AND(M6&lt;&gt;"",M6&lt;&gt;"Свободна"),M6,IF(COUNTIFS(Брони!$B$2:$B$500,A6,Брони!$F$2:$F$500,"Выдана")&gt;0,"В аренде","Свободна")))</f>
        <v/>
      </c>
      <c r="O6" s="10" t="n"/>
      <c r="P6" s="19" t="n"/>
    </row>
    <row r="7">
      <c r="A7" s="10" t="n"/>
      <c r="B7" s="10" t="n"/>
      <c r="C7" s="10" t="n"/>
      <c r="D7" s="9" t="n"/>
      <c r="E7" s="10" t="n"/>
      <c r="F7" s="10" t="n"/>
      <c r="G7" s="14" t="n"/>
      <c r="H7" s="14" t="n"/>
      <c r="I7" s="14" t="n"/>
      <c r="J7" s="18" t="n"/>
      <c r="K7" s="18" t="n"/>
      <c r="L7" s="18" t="n"/>
      <c r="M7" s="10" t="n"/>
      <c r="N7" s="12">
        <f>IF(A7="","",IF(AND(M7&lt;&gt;"",M7&lt;&gt;"Свободна"),M7,IF(COUNTIFS(Брони!$B$2:$B$500,A7,Брони!$F$2:$F$500,"Выдана")&gt;0,"В аренде","Свободна")))</f>
        <v/>
      </c>
      <c r="O7" s="10" t="n"/>
      <c r="P7" s="19" t="n"/>
    </row>
    <row r="8">
      <c r="A8" s="10" t="n"/>
      <c r="B8" s="10" t="n"/>
      <c r="C8" s="10" t="n"/>
      <c r="D8" s="9" t="n"/>
      <c r="E8" s="10" t="n"/>
      <c r="F8" s="10" t="n"/>
      <c r="G8" s="14" t="n"/>
      <c r="H8" s="14" t="n"/>
      <c r="I8" s="14" t="n"/>
      <c r="J8" s="18" t="n"/>
      <c r="K8" s="18" t="n"/>
      <c r="L8" s="18" t="n"/>
      <c r="M8" s="10" t="n"/>
      <c r="N8" s="12">
        <f>IF(A8="","",IF(AND(M8&lt;&gt;"",M8&lt;&gt;"Свободна"),M8,IF(COUNTIFS(Брони!$B$2:$B$500,A8,Брони!$F$2:$F$500,"Выдана")&gt;0,"В аренде","Свободна")))</f>
        <v/>
      </c>
      <c r="O8" s="10" t="n"/>
      <c r="P8" s="19" t="n"/>
    </row>
    <row r="9">
      <c r="A9" s="10" t="n"/>
      <c r="B9" s="10" t="n"/>
      <c r="C9" s="10" t="n"/>
      <c r="D9" s="9" t="n"/>
      <c r="E9" s="10" t="n"/>
      <c r="F9" s="10" t="n"/>
      <c r="G9" s="14" t="n"/>
      <c r="H9" s="14" t="n"/>
      <c r="I9" s="14" t="n"/>
      <c r="J9" s="18" t="n"/>
      <c r="K9" s="18" t="n"/>
      <c r="L9" s="18" t="n"/>
      <c r="M9" s="10" t="n"/>
      <c r="N9" s="12">
        <f>IF(A9="","",IF(AND(M9&lt;&gt;"",M9&lt;&gt;"Свободна"),M9,IF(COUNTIFS(Брони!$B$2:$B$500,A9,Брони!$F$2:$F$500,"Выдана")&gt;0,"В аренде","Свободна")))</f>
        <v/>
      </c>
      <c r="O9" s="10" t="n"/>
      <c r="P9" s="19" t="n"/>
    </row>
    <row r="10">
      <c r="A10" s="10" t="n"/>
      <c r="B10" s="10" t="n"/>
      <c r="C10" s="10" t="n"/>
      <c r="D10" s="9" t="n"/>
      <c r="E10" s="10" t="n"/>
      <c r="F10" s="10" t="n"/>
      <c r="G10" s="14" t="n"/>
      <c r="H10" s="14" t="n"/>
      <c r="I10" s="14" t="n"/>
      <c r="J10" s="18" t="n"/>
      <c r="K10" s="18" t="n"/>
      <c r="L10" s="18" t="n"/>
      <c r="M10" s="10" t="n"/>
      <c r="N10" s="12">
        <f>IF(A10="","",IF(AND(M10&lt;&gt;"",M10&lt;&gt;"Свободна"),M10,IF(COUNTIFS(Брони!$B$2:$B$500,A10,Брони!$F$2:$F$500,"Выдана")&gt;0,"В аренде","Свободна")))</f>
        <v/>
      </c>
      <c r="O10" s="10" t="n"/>
      <c r="P10" s="19" t="n"/>
    </row>
    <row r="11">
      <c r="A11" s="10" t="n"/>
      <c r="B11" s="10" t="n"/>
      <c r="C11" s="10" t="n"/>
      <c r="D11" s="9" t="n"/>
      <c r="E11" s="10" t="n"/>
      <c r="F11" s="10" t="n"/>
      <c r="G11" s="14" t="n"/>
      <c r="H11" s="14" t="n"/>
      <c r="I11" s="14" t="n"/>
      <c r="J11" s="18" t="n"/>
      <c r="K11" s="18" t="n"/>
      <c r="L11" s="18" t="n"/>
      <c r="M11" s="10" t="n"/>
      <c r="N11" s="12">
        <f>IF(A11="","",IF(AND(M11&lt;&gt;"",M11&lt;&gt;"Свободна"),M11,IF(COUNTIFS(Брони!$B$2:$B$500,A11,Брони!$F$2:$F$500,"Выдана")&gt;0,"В аренде","Свободна")))</f>
        <v/>
      </c>
      <c r="O11" s="10" t="n"/>
      <c r="P11" s="19" t="n"/>
    </row>
    <row r="12">
      <c r="A12" s="10" t="n"/>
      <c r="B12" s="10" t="n"/>
      <c r="C12" s="10" t="n"/>
      <c r="D12" s="9" t="n"/>
      <c r="E12" s="10" t="n"/>
      <c r="F12" s="10" t="n"/>
      <c r="G12" s="14" t="n"/>
      <c r="H12" s="14" t="n"/>
      <c r="I12" s="14" t="n"/>
      <c r="J12" s="18" t="n"/>
      <c r="K12" s="18" t="n"/>
      <c r="L12" s="18" t="n"/>
      <c r="M12" s="10" t="n"/>
      <c r="N12" s="12">
        <f>IF(A12="","",IF(AND(M12&lt;&gt;"",M12&lt;&gt;"Свободна"),M12,IF(COUNTIFS(Брони!$B$2:$B$500,A12,Брони!$F$2:$F$500,"Выдана")&gt;0,"В аренде","Свободна")))</f>
        <v/>
      </c>
      <c r="O12" s="10" t="n"/>
      <c r="P12" s="19" t="n"/>
    </row>
    <row r="13">
      <c r="A13" s="10" t="n"/>
      <c r="B13" s="10" t="n"/>
      <c r="C13" s="10" t="n"/>
      <c r="D13" s="9" t="n"/>
      <c r="E13" s="10" t="n"/>
      <c r="F13" s="10" t="n"/>
      <c r="G13" s="14" t="n"/>
      <c r="H13" s="14" t="n"/>
      <c r="I13" s="14" t="n"/>
      <c r="J13" s="18" t="n"/>
      <c r="K13" s="18" t="n"/>
      <c r="L13" s="18" t="n"/>
      <c r="M13" s="10" t="n"/>
      <c r="N13" s="12">
        <f>IF(A13="","",IF(AND(M13&lt;&gt;"",M13&lt;&gt;"Свободна"),M13,IF(COUNTIFS(Брони!$B$2:$B$500,A13,Брони!$F$2:$F$500,"Выдана")&gt;0,"В аренде","Свободна")))</f>
        <v/>
      </c>
      <c r="O13" s="10" t="n"/>
      <c r="P13" s="19" t="n"/>
    </row>
    <row r="14">
      <c r="A14" s="10" t="n"/>
      <c r="B14" s="10" t="n"/>
      <c r="C14" s="10" t="n"/>
      <c r="D14" s="9" t="n"/>
      <c r="E14" s="10" t="n"/>
      <c r="F14" s="10" t="n"/>
      <c r="G14" s="14" t="n"/>
      <c r="H14" s="14" t="n"/>
      <c r="I14" s="14" t="n"/>
      <c r="J14" s="18" t="n"/>
      <c r="K14" s="18" t="n"/>
      <c r="L14" s="18" t="n"/>
      <c r="M14" s="10" t="n"/>
      <c r="N14" s="12">
        <f>IF(A14="","",IF(AND(M14&lt;&gt;"",M14&lt;&gt;"Свободна"),M14,IF(COUNTIFS(Брони!$B$2:$B$500,A14,Брони!$F$2:$F$500,"Выдана")&gt;0,"В аренде","Свободна")))</f>
        <v/>
      </c>
      <c r="O14" s="10" t="n"/>
      <c r="P14" s="19" t="n"/>
    </row>
    <row r="15">
      <c r="A15" s="10" t="n"/>
      <c r="B15" s="10" t="n"/>
      <c r="C15" s="10" t="n"/>
      <c r="D15" s="9" t="n"/>
      <c r="E15" s="10" t="n"/>
      <c r="F15" s="10" t="n"/>
      <c r="G15" s="14" t="n"/>
      <c r="H15" s="14" t="n"/>
      <c r="I15" s="14" t="n"/>
      <c r="J15" s="18" t="n"/>
      <c r="K15" s="18" t="n"/>
      <c r="L15" s="18" t="n"/>
      <c r="M15" s="10" t="n"/>
      <c r="N15" s="12">
        <f>IF(A15="","",IF(AND(M15&lt;&gt;"",M15&lt;&gt;"Свободна"),M15,IF(COUNTIFS(Брони!$B$2:$B$500,A15,Брони!$F$2:$F$500,"Выдана")&gt;0,"В аренде","Свободна")))</f>
        <v/>
      </c>
      <c r="O15" s="10" t="n"/>
      <c r="P15" s="19" t="n"/>
    </row>
    <row r="16">
      <c r="A16" s="10" t="n"/>
      <c r="B16" s="10" t="n"/>
      <c r="C16" s="10" t="n"/>
      <c r="D16" s="9" t="n"/>
      <c r="E16" s="10" t="n"/>
      <c r="F16" s="10" t="n"/>
      <c r="G16" s="14" t="n"/>
      <c r="H16" s="14" t="n"/>
      <c r="I16" s="14" t="n"/>
      <c r="J16" s="18" t="n"/>
      <c r="K16" s="18" t="n"/>
      <c r="L16" s="18" t="n"/>
      <c r="M16" s="10" t="n"/>
      <c r="N16" s="12">
        <f>IF(A16="","",IF(AND(M16&lt;&gt;"",M16&lt;&gt;"Свободна"),M16,IF(COUNTIFS(Брони!$B$2:$B$500,A16,Брони!$F$2:$F$500,"Выдана")&gt;0,"В аренде","Свободна")))</f>
        <v/>
      </c>
      <c r="O16" s="10" t="n"/>
      <c r="P16" s="19" t="n"/>
    </row>
    <row r="17">
      <c r="A17" s="10" t="n"/>
      <c r="B17" s="10" t="n"/>
      <c r="C17" s="10" t="n"/>
      <c r="D17" s="9" t="n"/>
      <c r="E17" s="10" t="n"/>
      <c r="F17" s="10" t="n"/>
      <c r="G17" s="14" t="n"/>
      <c r="H17" s="14" t="n"/>
      <c r="I17" s="14" t="n"/>
      <c r="J17" s="18" t="n"/>
      <c r="K17" s="18" t="n"/>
      <c r="L17" s="18" t="n"/>
      <c r="M17" s="10" t="n"/>
      <c r="N17" s="12">
        <f>IF(A17="","",IF(AND(M17&lt;&gt;"",M17&lt;&gt;"Свободна"),M17,IF(COUNTIFS(Брони!$B$2:$B$500,A17,Брони!$F$2:$F$500,"Выдана")&gt;0,"В аренде","Свободна")))</f>
        <v/>
      </c>
      <c r="O17" s="10" t="n"/>
      <c r="P17" s="19" t="n"/>
    </row>
    <row r="18">
      <c r="A18" s="10" t="n"/>
      <c r="B18" s="10" t="n"/>
      <c r="C18" s="10" t="n"/>
      <c r="D18" s="9" t="n"/>
      <c r="E18" s="10" t="n"/>
      <c r="F18" s="10" t="n"/>
      <c r="G18" s="14" t="n"/>
      <c r="H18" s="14" t="n"/>
      <c r="I18" s="14" t="n"/>
      <c r="J18" s="18" t="n"/>
      <c r="K18" s="18" t="n"/>
      <c r="L18" s="18" t="n"/>
      <c r="M18" s="10" t="n"/>
      <c r="N18" s="12">
        <f>IF(A18="","",IF(AND(M18&lt;&gt;"",M18&lt;&gt;"Свободна"),M18,IF(COUNTIFS(Брони!$B$2:$B$500,A18,Брони!$F$2:$F$500,"Выдана")&gt;0,"В аренде","Свободна")))</f>
        <v/>
      </c>
      <c r="O18" s="10" t="n"/>
      <c r="P18" s="19" t="n"/>
    </row>
    <row r="19">
      <c r="A19" s="10" t="n"/>
      <c r="B19" s="10" t="n"/>
      <c r="C19" s="10" t="n"/>
      <c r="D19" s="9" t="n"/>
      <c r="E19" s="10" t="n"/>
      <c r="F19" s="10" t="n"/>
      <c r="G19" s="14" t="n"/>
      <c r="H19" s="14" t="n"/>
      <c r="I19" s="14" t="n"/>
      <c r="J19" s="18" t="n"/>
      <c r="K19" s="18" t="n"/>
      <c r="L19" s="18" t="n"/>
      <c r="M19" s="10" t="n"/>
      <c r="N19" s="12">
        <f>IF(A19="","",IF(AND(M19&lt;&gt;"",M19&lt;&gt;"Свободна"),M19,IF(COUNTIFS(Брони!$B$2:$B$500,A19,Брони!$F$2:$F$500,"Выдана")&gt;0,"В аренде","Свободна")))</f>
        <v/>
      </c>
      <c r="O19" s="10" t="n"/>
      <c r="P19" s="19" t="n"/>
    </row>
    <row r="20">
      <c r="A20" s="10" t="n"/>
      <c r="B20" s="10" t="n"/>
      <c r="C20" s="10" t="n"/>
      <c r="D20" s="9" t="n"/>
      <c r="E20" s="10" t="n"/>
      <c r="F20" s="10" t="n"/>
      <c r="G20" s="14" t="n"/>
      <c r="H20" s="14" t="n"/>
      <c r="I20" s="14" t="n"/>
      <c r="J20" s="18" t="n"/>
      <c r="K20" s="18" t="n"/>
      <c r="L20" s="18" t="n"/>
      <c r="M20" s="10" t="n"/>
      <c r="N20" s="12">
        <f>IF(A20="","",IF(AND(M20&lt;&gt;"",M20&lt;&gt;"Свободна"),M20,IF(COUNTIFS(Брони!$B$2:$B$500,A20,Брони!$F$2:$F$500,"Выдана")&gt;0,"В аренде","Свободна")))</f>
        <v/>
      </c>
      <c r="O20" s="10" t="n"/>
      <c r="P20" s="19" t="n"/>
    </row>
    <row r="21">
      <c r="A21" s="10" t="n"/>
      <c r="B21" s="10" t="n"/>
      <c r="C21" s="10" t="n"/>
      <c r="D21" s="9" t="n"/>
      <c r="E21" s="10" t="n"/>
      <c r="F21" s="10" t="n"/>
      <c r="G21" s="14" t="n"/>
      <c r="H21" s="14" t="n"/>
      <c r="I21" s="14" t="n"/>
      <c r="J21" s="18" t="n"/>
      <c r="K21" s="18" t="n"/>
      <c r="L21" s="18" t="n"/>
      <c r="M21" s="10" t="n"/>
      <c r="N21" s="12">
        <f>IF(A21="","",IF(AND(M21&lt;&gt;"",M21&lt;&gt;"Свободна"),M21,IF(COUNTIFS(Брони!$B$2:$B$500,A21,Брони!$F$2:$F$500,"Выдана")&gt;0,"В аренде","Свободна")))</f>
        <v/>
      </c>
      <c r="O21" s="10" t="n"/>
      <c r="P21" s="19" t="n"/>
    </row>
    <row r="22">
      <c r="A22" s="10" t="n"/>
      <c r="B22" s="10" t="n"/>
      <c r="C22" s="10" t="n"/>
      <c r="D22" s="9" t="n"/>
      <c r="E22" s="10" t="n"/>
      <c r="F22" s="10" t="n"/>
      <c r="G22" s="14" t="n"/>
      <c r="H22" s="14" t="n"/>
      <c r="I22" s="14" t="n"/>
      <c r="J22" s="18" t="n"/>
      <c r="K22" s="18" t="n"/>
      <c r="L22" s="18" t="n"/>
      <c r="M22" s="10" t="n"/>
      <c r="N22" s="12">
        <f>IF(A22="","",IF(AND(M22&lt;&gt;"",M22&lt;&gt;"Свободна"),M22,IF(COUNTIFS(Брони!$B$2:$B$500,A22,Брони!$F$2:$F$500,"Выдана")&gt;0,"В аренде","Свободна")))</f>
        <v/>
      </c>
      <c r="O22" s="10" t="n"/>
      <c r="P22" s="19" t="n"/>
    </row>
    <row r="23">
      <c r="A23" s="10" t="n"/>
      <c r="B23" s="10" t="n"/>
      <c r="C23" s="10" t="n"/>
      <c r="D23" s="9" t="n"/>
      <c r="E23" s="10" t="n"/>
      <c r="F23" s="10" t="n"/>
      <c r="G23" s="14" t="n"/>
      <c r="H23" s="14" t="n"/>
      <c r="I23" s="14" t="n"/>
      <c r="J23" s="18" t="n"/>
      <c r="K23" s="18" t="n"/>
      <c r="L23" s="18" t="n"/>
      <c r="M23" s="10" t="n"/>
      <c r="N23" s="12">
        <f>IF(A23="","",IF(AND(M23&lt;&gt;"",M23&lt;&gt;"Свободна"),M23,IF(COUNTIFS(Брони!$B$2:$B$500,A23,Брони!$F$2:$F$500,"Выдана")&gt;0,"В аренде","Свободна")))</f>
        <v/>
      </c>
      <c r="O23" s="10" t="n"/>
      <c r="P23" s="19" t="n"/>
    </row>
    <row r="24">
      <c r="A24" s="10" t="n"/>
      <c r="B24" s="10" t="n"/>
      <c r="C24" s="10" t="n"/>
      <c r="D24" s="9" t="n"/>
      <c r="E24" s="10" t="n"/>
      <c r="F24" s="10" t="n"/>
      <c r="G24" s="14" t="n"/>
      <c r="H24" s="14" t="n"/>
      <c r="I24" s="14" t="n"/>
      <c r="J24" s="18" t="n"/>
      <c r="K24" s="18" t="n"/>
      <c r="L24" s="18" t="n"/>
      <c r="M24" s="10" t="n"/>
      <c r="N24" s="12">
        <f>IF(A24="","",IF(AND(M24&lt;&gt;"",M24&lt;&gt;"Свободна"),M24,IF(COUNTIFS(Брони!$B$2:$B$500,A24,Брони!$F$2:$F$500,"Выдана")&gt;0,"В аренде","Свободна")))</f>
        <v/>
      </c>
      <c r="O24" s="10" t="n"/>
      <c r="P24" s="19" t="n"/>
    </row>
    <row r="25">
      <c r="A25" s="10" t="n"/>
      <c r="B25" s="10" t="n"/>
      <c r="C25" s="10" t="n"/>
      <c r="D25" s="9" t="n"/>
      <c r="E25" s="10" t="n"/>
      <c r="F25" s="10" t="n"/>
      <c r="G25" s="14" t="n"/>
      <c r="H25" s="14" t="n"/>
      <c r="I25" s="14" t="n"/>
      <c r="J25" s="18" t="n"/>
      <c r="K25" s="18" t="n"/>
      <c r="L25" s="18" t="n"/>
      <c r="M25" s="10" t="n"/>
      <c r="N25" s="12">
        <f>IF(A25="","",IF(AND(M25&lt;&gt;"",M25&lt;&gt;"Свободна"),M25,IF(COUNTIFS(Брони!$B$2:$B$500,A25,Брони!$F$2:$F$500,"Выдана")&gt;0,"В аренде","Свободна")))</f>
        <v/>
      </c>
      <c r="O25" s="10" t="n"/>
      <c r="P25" s="19" t="n"/>
    </row>
    <row r="26">
      <c r="A26" s="10" t="n"/>
      <c r="B26" s="10" t="n"/>
      <c r="C26" s="10" t="n"/>
      <c r="D26" s="9" t="n"/>
      <c r="E26" s="10" t="n"/>
      <c r="F26" s="10" t="n"/>
      <c r="G26" s="14" t="n"/>
      <c r="H26" s="14" t="n"/>
      <c r="I26" s="14" t="n"/>
      <c r="J26" s="18" t="n"/>
      <c r="K26" s="18" t="n"/>
      <c r="L26" s="18" t="n"/>
      <c r="M26" s="10" t="n"/>
      <c r="N26" s="12">
        <f>IF(A26="","",IF(AND(M26&lt;&gt;"",M26&lt;&gt;"Свободна"),M26,IF(COUNTIFS(Брони!$B$2:$B$500,A26,Брони!$F$2:$F$500,"Выдана")&gt;0,"В аренде","Свободна")))</f>
        <v/>
      </c>
      <c r="O26" s="10" t="n"/>
      <c r="P26" s="19" t="n"/>
    </row>
    <row r="27">
      <c r="A27" s="10" t="n"/>
      <c r="B27" s="10" t="n"/>
      <c r="C27" s="10" t="n"/>
      <c r="D27" s="9" t="n"/>
      <c r="E27" s="10" t="n"/>
      <c r="F27" s="10" t="n"/>
      <c r="G27" s="14" t="n"/>
      <c r="H27" s="14" t="n"/>
      <c r="I27" s="14" t="n"/>
      <c r="J27" s="18" t="n"/>
      <c r="K27" s="18" t="n"/>
      <c r="L27" s="18" t="n"/>
      <c r="M27" s="10" t="n"/>
      <c r="N27" s="12">
        <f>IF(A27="","",IF(AND(M27&lt;&gt;"",M27&lt;&gt;"Свободна"),M27,IF(COUNTIFS(Брони!$B$2:$B$500,A27,Брони!$F$2:$F$500,"Выдана")&gt;0,"В аренде","Свободна")))</f>
        <v/>
      </c>
      <c r="O27" s="10" t="n"/>
      <c r="P27" s="19" t="n"/>
    </row>
    <row r="28">
      <c r="A28" s="10" t="n"/>
      <c r="B28" s="10" t="n"/>
      <c r="C28" s="10" t="n"/>
      <c r="D28" s="9" t="n"/>
      <c r="E28" s="10" t="n"/>
      <c r="F28" s="10" t="n"/>
      <c r="G28" s="14" t="n"/>
      <c r="H28" s="14" t="n"/>
      <c r="I28" s="14" t="n"/>
      <c r="J28" s="18" t="n"/>
      <c r="K28" s="18" t="n"/>
      <c r="L28" s="18" t="n"/>
      <c r="M28" s="10" t="n"/>
      <c r="N28" s="12">
        <f>IF(A28="","",IF(AND(M28&lt;&gt;"",M28&lt;&gt;"Свободна"),M28,IF(COUNTIFS(Брони!$B$2:$B$500,A28,Брони!$F$2:$F$500,"Выдана")&gt;0,"В аренде","Свободна")))</f>
        <v/>
      </c>
      <c r="O28" s="10" t="n"/>
      <c r="P28" s="19" t="n"/>
    </row>
    <row r="29">
      <c r="A29" s="10" t="n"/>
      <c r="B29" s="10" t="n"/>
      <c r="C29" s="10" t="n"/>
      <c r="D29" s="9" t="n"/>
      <c r="E29" s="10" t="n"/>
      <c r="F29" s="10" t="n"/>
      <c r="G29" s="14" t="n"/>
      <c r="H29" s="14" t="n"/>
      <c r="I29" s="14" t="n"/>
      <c r="J29" s="18" t="n"/>
      <c r="K29" s="18" t="n"/>
      <c r="L29" s="18" t="n"/>
      <c r="M29" s="10" t="n"/>
      <c r="N29" s="12">
        <f>IF(A29="","",IF(AND(M29&lt;&gt;"",M29&lt;&gt;"Свободна"),M29,IF(COUNTIFS(Брони!$B$2:$B$500,A29,Брони!$F$2:$F$500,"Выдана")&gt;0,"В аренде","Свободна")))</f>
        <v/>
      </c>
      <c r="O29" s="10" t="n"/>
      <c r="P29" s="19" t="n"/>
    </row>
    <row r="30">
      <c r="A30" s="10" t="n"/>
      <c r="B30" s="10" t="n"/>
      <c r="C30" s="10" t="n"/>
      <c r="D30" s="9" t="n"/>
      <c r="E30" s="10" t="n"/>
      <c r="F30" s="10" t="n"/>
      <c r="G30" s="14" t="n"/>
      <c r="H30" s="14" t="n"/>
      <c r="I30" s="14" t="n"/>
      <c r="J30" s="18" t="n"/>
      <c r="K30" s="18" t="n"/>
      <c r="L30" s="18" t="n"/>
      <c r="M30" s="10" t="n"/>
      <c r="N30" s="12">
        <f>IF(A30="","",IF(AND(M30&lt;&gt;"",M30&lt;&gt;"Свободна"),M30,IF(COUNTIFS(Брони!$B$2:$B$500,A30,Брони!$F$2:$F$500,"Выдана")&gt;0,"В аренде","Свободна")))</f>
        <v/>
      </c>
      <c r="O30" s="10" t="n"/>
      <c r="P30" s="19" t="n"/>
    </row>
    <row r="31">
      <c r="A31" s="10" t="n"/>
      <c r="B31" s="10" t="n"/>
      <c r="C31" s="10" t="n"/>
      <c r="D31" s="9" t="n"/>
      <c r="E31" s="10" t="n"/>
      <c r="F31" s="10" t="n"/>
      <c r="G31" s="14" t="n"/>
      <c r="H31" s="14" t="n"/>
      <c r="I31" s="14" t="n"/>
      <c r="J31" s="18" t="n"/>
      <c r="K31" s="18" t="n"/>
      <c r="L31" s="18" t="n"/>
      <c r="M31" s="10" t="n"/>
      <c r="N31" s="12">
        <f>IF(A31="","",IF(AND(M31&lt;&gt;"",M31&lt;&gt;"Свободна"),M31,IF(COUNTIFS(Брони!$B$2:$B$500,A31,Брони!$F$2:$F$500,"Выдана")&gt;0,"В аренде","Свободна")))</f>
        <v/>
      </c>
      <c r="O31" s="10" t="n"/>
      <c r="P31" s="19" t="n"/>
    </row>
    <row r="32">
      <c r="A32" s="10" t="n"/>
      <c r="B32" s="10" t="n"/>
      <c r="C32" s="10" t="n"/>
      <c r="D32" s="9" t="n"/>
      <c r="E32" s="10" t="n"/>
      <c r="F32" s="10" t="n"/>
      <c r="G32" s="14" t="n"/>
      <c r="H32" s="14" t="n"/>
      <c r="I32" s="14" t="n"/>
      <c r="J32" s="18" t="n"/>
      <c r="K32" s="18" t="n"/>
      <c r="L32" s="18" t="n"/>
      <c r="M32" s="10" t="n"/>
      <c r="N32" s="12">
        <f>IF(A32="","",IF(AND(M32&lt;&gt;"",M32&lt;&gt;"Свободна"),M32,IF(COUNTIFS(Брони!$B$2:$B$500,A32,Брони!$F$2:$F$500,"Выдана")&gt;0,"В аренде","Свободна")))</f>
        <v/>
      </c>
      <c r="O32" s="10" t="n"/>
      <c r="P32" s="19" t="n"/>
    </row>
    <row r="33">
      <c r="A33" s="10" t="n"/>
      <c r="B33" s="10" t="n"/>
      <c r="C33" s="10" t="n"/>
      <c r="D33" s="9" t="n"/>
      <c r="E33" s="10" t="n"/>
      <c r="F33" s="10" t="n"/>
      <c r="G33" s="14" t="n"/>
      <c r="H33" s="14" t="n"/>
      <c r="I33" s="14" t="n"/>
      <c r="J33" s="18" t="n"/>
      <c r="K33" s="18" t="n"/>
      <c r="L33" s="18" t="n"/>
      <c r="M33" s="10" t="n"/>
      <c r="N33" s="12">
        <f>IF(A33="","",IF(AND(M33&lt;&gt;"",M33&lt;&gt;"Свободна"),M33,IF(COUNTIFS(Брони!$B$2:$B$500,A33,Брони!$F$2:$F$500,"Выдана")&gt;0,"В аренде","Свободна")))</f>
        <v/>
      </c>
      <c r="O33" s="10" t="n"/>
      <c r="P33" s="19" t="n"/>
    </row>
    <row r="34">
      <c r="A34" s="10" t="n"/>
      <c r="B34" s="10" t="n"/>
      <c r="C34" s="10" t="n"/>
      <c r="D34" s="9" t="n"/>
      <c r="E34" s="10" t="n"/>
      <c r="F34" s="10" t="n"/>
      <c r="G34" s="14" t="n"/>
      <c r="H34" s="14" t="n"/>
      <c r="I34" s="14" t="n"/>
      <c r="J34" s="18" t="n"/>
      <c r="K34" s="18" t="n"/>
      <c r="L34" s="18" t="n"/>
      <c r="M34" s="10" t="n"/>
      <c r="N34" s="12">
        <f>IF(A34="","",IF(AND(M34&lt;&gt;"",M34&lt;&gt;"Свободна"),M34,IF(COUNTIFS(Брони!$B$2:$B$500,A34,Брони!$F$2:$F$500,"Выдана")&gt;0,"В аренде","Свободна")))</f>
        <v/>
      </c>
      <c r="O34" s="10" t="n"/>
      <c r="P34" s="19" t="n"/>
    </row>
    <row r="35">
      <c r="A35" s="10" t="n"/>
      <c r="B35" s="10" t="n"/>
      <c r="C35" s="10" t="n"/>
      <c r="D35" s="9" t="n"/>
      <c r="E35" s="10" t="n"/>
      <c r="F35" s="10" t="n"/>
      <c r="G35" s="14" t="n"/>
      <c r="H35" s="14" t="n"/>
      <c r="I35" s="14" t="n"/>
      <c r="J35" s="18" t="n"/>
      <c r="K35" s="18" t="n"/>
      <c r="L35" s="18" t="n"/>
      <c r="M35" s="10" t="n"/>
      <c r="N35" s="12">
        <f>IF(A35="","",IF(AND(M35&lt;&gt;"",M35&lt;&gt;"Свободна"),M35,IF(COUNTIFS(Брони!$B$2:$B$500,A35,Брони!$F$2:$F$500,"Выдана")&gt;0,"В аренде","Свободна")))</f>
        <v/>
      </c>
      <c r="O35" s="10" t="n"/>
      <c r="P35" s="19" t="n"/>
    </row>
    <row r="36">
      <c r="A36" s="10" t="n"/>
      <c r="B36" s="10" t="n"/>
      <c r="C36" s="10" t="n"/>
      <c r="D36" s="9" t="n"/>
      <c r="E36" s="10" t="n"/>
      <c r="F36" s="10" t="n"/>
      <c r="G36" s="14" t="n"/>
      <c r="H36" s="14" t="n"/>
      <c r="I36" s="14" t="n"/>
      <c r="J36" s="18" t="n"/>
      <c r="K36" s="18" t="n"/>
      <c r="L36" s="18" t="n"/>
      <c r="M36" s="10" t="n"/>
      <c r="N36" s="12">
        <f>IF(A36="","",IF(AND(M36&lt;&gt;"",M36&lt;&gt;"Свободна"),M36,IF(COUNTIFS(Брони!$B$2:$B$500,A36,Брони!$F$2:$F$500,"Выдана")&gt;0,"В аренде","Свободна")))</f>
        <v/>
      </c>
      <c r="O36" s="10" t="n"/>
      <c r="P36" s="19" t="n"/>
    </row>
    <row r="37">
      <c r="A37" s="10" t="n"/>
      <c r="B37" s="10" t="n"/>
      <c r="C37" s="10" t="n"/>
      <c r="D37" s="9" t="n"/>
      <c r="E37" s="10" t="n"/>
      <c r="F37" s="10" t="n"/>
      <c r="G37" s="14" t="n"/>
      <c r="H37" s="14" t="n"/>
      <c r="I37" s="14" t="n"/>
      <c r="J37" s="18" t="n"/>
      <c r="K37" s="18" t="n"/>
      <c r="L37" s="18" t="n"/>
      <c r="M37" s="10" t="n"/>
      <c r="N37" s="12">
        <f>IF(A37="","",IF(AND(M37&lt;&gt;"",M37&lt;&gt;"Свободна"),M37,IF(COUNTIFS(Брони!$B$2:$B$500,A37,Брони!$F$2:$F$500,"Выдана")&gt;0,"В аренде","Свободна")))</f>
        <v/>
      </c>
      <c r="O37" s="10" t="n"/>
      <c r="P37" s="19" t="n"/>
    </row>
    <row r="38">
      <c r="A38" s="10" t="n"/>
      <c r="B38" s="10" t="n"/>
      <c r="C38" s="10" t="n"/>
      <c r="D38" s="9" t="n"/>
      <c r="E38" s="10" t="n"/>
      <c r="F38" s="10" t="n"/>
      <c r="G38" s="14" t="n"/>
      <c r="H38" s="14" t="n"/>
      <c r="I38" s="14" t="n"/>
      <c r="J38" s="18" t="n"/>
      <c r="K38" s="18" t="n"/>
      <c r="L38" s="18" t="n"/>
      <c r="M38" s="10" t="n"/>
      <c r="N38" s="12">
        <f>IF(A38="","",IF(AND(M38&lt;&gt;"",M38&lt;&gt;"Свободна"),M38,IF(COUNTIFS(Брони!$B$2:$B$500,A38,Брони!$F$2:$F$500,"Выдана")&gt;0,"В аренде","Свободна")))</f>
        <v/>
      </c>
      <c r="O38" s="10" t="n"/>
      <c r="P38" s="19" t="n"/>
    </row>
    <row r="39">
      <c r="A39" s="10" t="n"/>
      <c r="B39" s="10" t="n"/>
      <c r="C39" s="10" t="n"/>
      <c r="D39" s="9" t="n"/>
      <c r="E39" s="10" t="n"/>
      <c r="F39" s="10" t="n"/>
      <c r="G39" s="14" t="n"/>
      <c r="H39" s="14" t="n"/>
      <c r="I39" s="14" t="n"/>
      <c r="J39" s="18" t="n"/>
      <c r="K39" s="18" t="n"/>
      <c r="L39" s="18" t="n"/>
      <c r="M39" s="10" t="n"/>
      <c r="N39" s="12">
        <f>IF(A39="","",IF(AND(M39&lt;&gt;"",M39&lt;&gt;"Свободна"),M39,IF(COUNTIFS(Брони!$B$2:$B$500,A39,Брони!$F$2:$F$500,"Выдана")&gt;0,"В аренде","Свободна")))</f>
        <v/>
      </c>
      <c r="O39" s="10" t="n"/>
      <c r="P39" s="19" t="n"/>
    </row>
    <row r="40">
      <c r="A40" s="10" t="n"/>
      <c r="B40" s="10" t="n"/>
      <c r="C40" s="10" t="n"/>
      <c r="D40" s="9" t="n"/>
      <c r="E40" s="10" t="n"/>
      <c r="F40" s="10" t="n"/>
      <c r="G40" s="14" t="n"/>
      <c r="H40" s="14" t="n"/>
      <c r="I40" s="14" t="n"/>
      <c r="J40" s="18" t="n"/>
      <c r="K40" s="18" t="n"/>
      <c r="L40" s="18" t="n"/>
      <c r="M40" s="10" t="n"/>
      <c r="N40" s="12">
        <f>IF(A40="","",IF(AND(M40&lt;&gt;"",M40&lt;&gt;"Свободна"),M40,IF(COUNTIFS(Брони!$B$2:$B$500,A40,Брони!$F$2:$F$500,"Выдана")&gt;0,"В аренде","Свободна")))</f>
        <v/>
      </c>
      <c r="O40" s="10" t="n"/>
      <c r="P40" s="19" t="n"/>
    </row>
    <row r="41">
      <c r="A41" s="10" t="n"/>
      <c r="B41" s="10" t="n"/>
      <c r="C41" s="10" t="n"/>
      <c r="D41" s="9" t="n"/>
      <c r="E41" s="10" t="n"/>
      <c r="F41" s="10" t="n"/>
      <c r="G41" s="14" t="n"/>
      <c r="H41" s="14" t="n"/>
      <c r="I41" s="14" t="n"/>
      <c r="J41" s="18" t="n"/>
      <c r="K41" s="18" t="n"/>
      <c r="L41" s="18" t="n"/>
      <c r="M41" s="10" t="n"/>
      <c r="N41" s="12">
        <f>IF(A41="","",IF(AND(M41&lt;&gt;"",M41&lt;&gt;"Свободна"),M41,IF(COUNTIFS(Брони!$B$2:$B$500,A41,Брони!$F$2:$F$500,"Выдана")&gt;0,"В аренде","Свободна")))</f>
        <v/>
      </c>
      <c r="O41" s="10" t="n"/>
      <c r="P41" s="19" t="n"/>
    </row>
    <row r="42">
      <c r="A42" s="10" t="n"/>
      <c r="B42" s="10" t="n"/>
      <c r="C42" s="10" t="n"/>
      <c r="D42" s="9" t="n"/>
      <c r="E42" s="10" t="n"/>
      <c r="F42" s="10" t="n"/>
      <c r="G42" s="14" t="n"/>
      <c r="H42" s="14" t="n"/>
      <c r="I42" s="14" t="n"/>
      <c r="J42" s="18" t="n"/>
      <c r="K42" s="18" t="n"/>
      <c r="L42" s="18" t="n"/>
      <c r="M42" s="10" t="n"/>
      <c r="N42" s="12">
        <f>IF(A42="","",IF(AND(M42&lt;&gt;"",M42&lt;&gt;"Свободна"),M42,IF(COUNTIFS(Брони!$B$2:$B$500,A42,Брони!$F$2:$F$500,"Выдана")&gt;0,"В аренде","Свободна")))</f>
        <v/>
      </c>
      <c r="O42" s="10" t="n"/>
      <c r="P42" s="19" t="n"/>
    </row>
    <row r="43">
      <c r="A43" s="10" t="n"/>
      <c r="B43" s="10" t="n"/>
      <c r="C43" s="10" t="n"/>
      <c r="D43" s="9" t="n"/>
      <c r="E43" s="10" t="n"/>
      <c r="F43" s="10" t="n"/>
      <c r="G43" s="14" t="n"/>
      <c r="H43" s="14" t="n"/>
      <c r="I43" s="14" t="n"/>
      <c r="J43" s="18" t="n"/>
      <c r="K43" s="18" t="n"/>
      <c r="L43" s="18" t="n"/>
      <c r="M43" s="10" t="n"/>
      <c r="N43" s="12">
        <f>IF(A43="","",IF(AND(M43&lt;&gt;"",M43&lt;&gt;"Свободна"),M43,IF(COUNTIFS(Брони!$B$2:$B$500,A43,Брони!$F$2:$F$500,"Выдана")&gt;0,"В аренде","Свободна")))</f>
        <v/>
      </c>
      <c r="O43" s="10" t="n"/>
      <c r="P43" s="19" t="n"/>
    </row>
    <row r="44">
      <c r="A44" s="10" t="n"/>
      <c r="B44" s="10" t="n"/>
      <c r="C44" s="10" t="n"/>
      <c r="D44" s="9" t="n"/>
      <c r="E44" s="10" t="n"/>
      <c r="F44" s="10" t="n"/>
      <c r="G44" s="14" t="n"/>
      <c r="H44" s="14" t="n"/>
      <c r="I44" s="14" t="n"/>
      <c r="J44" s="18" t="n"/>
      <c r="K44" s="18" t="n"/>
      <c r="L44" s="18" t="n"/>
      <c r="M44" s="10" t="n"/>
      <c r="N44" s="12">
        <f>IF(A44="","",IF(AND(M44&lt;&gt;"",M44&lt;&gt;"Свободна"),M44,IF(COUNTIFS(Брони!$B$2:$B$500,A44,Брони!$F$2:$F$500,"Выдана")&gt;0,"В аренде","Свободна")))</f>
        <v/>
      </c>
      <c r="O44" s="10" t="n"/>
      <c r="P44" s="19" t="n"/>
    </row>
    <row r="45">
      <c r="A45" s="10" t="n"/>
      <c r="B45" s="10" t="n"/>
      <c r="C45" s="10" t="n"/>
      <c r="D45" s="9" t="n"/>
      <c r="E45" s="10" t="n"/>
      <c r="F45" s="10" t="n"/>
      <c r="G45" s="14" t="n"/>
      <c r="H45" s="14" t="n"/>
      <c r="I45" s="14" t="n"/>
      <c r="J45" s="18" t="n"/>
      <c r="K45" s="18" t="n"/>
      <c r="L45" s="18" t="n"/>
      <c r="M45" s="10" t="n"/>
      <c r="N45" s="12">
        <f>IF(A45="","",IF(AND(M45&lt;&gt;"",M45&lt;&gt;"Свободна"),M45,IF(COUNTIFS(Брони!$B$2:$B$500,A45,Брони!$F$2:$F$500,"Выдана")&gt;0,"В аренде","Свободна")))</f>
        <v/>
      </c>
      <c r="O45" s="10" t="n"/>
      <c r="P45" s="19" t="n"/>
    </row>
    <row r="46">
      <c r="A46" s="10" t="n"/>
      <c r="B46" s="10" t="n"/>
      <c r="C46" s="10" t="n"/>
      <c r="D46" s="9" t="n"/>
      <c r="E46" s="10" t="n"/>
      <c r="F46" s="10" t="n"/>
      <c r="G46" s="14" t="n"/>
      <c r="H46" s="14" t="n"/>
      <c r="I46" s="14" t="n"/>
      <c r="J46" s="18" t="n"/>
      <c r="K46" s="18" t="n"/>
      <c r="L46" s="18" t="n"/>
      <c r="M46" s="10" t="n"/>
      <c r="N46" s="12">
        <f>IF(A46="","",IF(AND(M46&lt;&gt;"",M46&lt;&gt;"Свободна"),M46,IF(COUNTIFS(Брони!$B$2:$B$500,A46,Брони!$F$2:$F$500,"Выдана")&gt;0,"В аренде","Свободна")))</f>
        <v/>
      </c>
      <c r="O46" s="10" t="n"/>
      <c r="P46" s="19" t="n"/>
    </row>
    <row r="47">
      <c r="A47" s="10" t="n"/>
      <c r="B47" s="10" t="n"/>
      <c r="C47" s="10" t="n"/>
      <c r="D47" s="9" t="n"/>
      <c r="E47" s="10" t="n"/>
      <c r="F47" s="10" t="n"/>
      <c r="G47" s="14" t="n"/>
      <c r="H47" s="14" t="n"/>
      <c r="I47" s="14" t="n"/>
      <c r="J47" s="18" t="n"/>
      <c r="K47" s="18" t="n"/>
      <c r="L47" s="18" t="n"/>
      <c r="M47" s="10" t="n"/>
      <c r="N47" s="12">
        <f>IF(A47="","",IF(AND(M47&lt;&gt;"",M47&lt;&gt;"Свободна"),M47,IF(COUNTIFS(Брони!$B$2:$B$500,A47,Брони!$F$2:$F$500,"Выдана")&gt;0,"В аренде","Свободна")))</f>
        <v/>
      </c>
      <c r="O47" s="10" t="n"/>
      <c r="P47" s="19" t="n"/>
    </row>
    <row r="48">
      <c r="A48" s="10" t="n"/>
      <c r="B48" s="10" t="n"/>
      <c r="C48" s="10" t="n"/>
      <c r="D48" s="9" t="n"/>
      <c r="E48" s="10" t="n"/>
      <c r="F48" s="10" t="n"/>
      <c r="G48" s="14" t="n"/>
      <c r="H48" s="14" t="n"/>
      <c r="I48" s="14" t="n"/>
      <c r="J48" s="18" t="n"/>
      <c r="K48" s="18" t="n"/>
      <c r="L48" s="18" t="n"/>
      <c r="M48" s="10" t="n"/>
      <c r="N48" s="12">
        <f>IF(A48="","",IF(AND(M48&lt;&gt;"",M48&lt;&gt;"Свободна"),M48,IF(COUNTIFS(Брони!$B$2:$B$500,A48,Брони!$F$2:$F$500,"Выдана")&gt;0,"В аренде","Свободна")))</f>
        <v/>
      </c>
      <c r="O48" s="10" t="n"/>
      <c r="P48" s="19" t="n"/>
    </row>
    <row r="49">
      <c r="A49" s="10" t="n"/>
      <c r="B49" s="10" t="n"/>
      <c r="C49" s="10" t="n"/>
      <c r="D49" s="9" t="n"/>
      <c r="E49" s="10" t="n"/>
      <c r="F49" s="10" t="n"/>
      <c r="G49" s="14" t="n"/>
      <c r="H49" s="14" t="n"/>
      <c r="I49" s="14" t="n"/>
      <c r="J49" s="18" t="n"/>
      <c r="K49" s="18" t="n"/>
      <c r="L49" s="18" t="n"/>
      <c r="M49" s="10" t="n"/>
      <c r="N49" s="12">
        <f>IF(A49="","",IF(AND(M49&lt;&gt;"",M49&lt;&gt;"Свободна"),M49,IF(COUNTIFS(Брони!$B$2:$B$500,A49,Брони!$F$2:$F$500,"Выдана")&gt;0,"В аренде","Свободна")))</f>
        <v/>
      </c>
      <c r="O49" s="10" t="n"/>
      <c r="P49" s="19" t="n"/>
    </row>
    <row r="50">
      <c r="A50" s="10" t="n"/>
      <c r="B50" s="10" t="n"/>
      <c r="C50" s="10" t="n"/>
      <c r="D50" s="9" t="n"/>
      <c r="E50" s="10" t="n"/>
      <c r="F50" s="10" t="n"/>
      <c r="G50" s="14" t="n"/>
      <c r="H50" s="14" t="n"/>
      <c r="I50" s="14" t="n"/>
      <c r="J50" s="18" t="n"/>
      <c r="K50" s="18" t="n"/>
      <c r="L50" s="18" t="n"/>
      <c r="M50" s="10" t="n"/>
      <c r="N50" s="12">
        <f>IF(A50="","",IF(AND(M50&lt;&gt;"",M50&lt;&gt;"Свободна"),M50,IF(COUNTIFS(Брони!$B$2:$B$500,A50,Брони!$F$2:$F$500,"Выдана")&gt;0,"В аренде","Свободна")))</f>
        <v/>
      </c>
      <c r="O50" s="10" t="n"/>
      <c r="P50" s="19" t="n"/>
    </row>
    <row r="51">
      <c r="A51" s="10" t="n"/>
      <c r="B51" s="10" t="n"/>
      <c r="C51" s="10" t="n"/>
      <c r="D51" s="9" t="n"/>
      <c r="E51" s="10" t="n"/>
      <c r="F51" s="10" t="n"/>
      <c r="G51" s="14" t="n"/>
      <c r="H51" s="14" t="n"/>
      <c r="I51" s="14" t="n"/>
      <c r="J51" s="18" t="n"/>
      <c r="K51" s="18" t="n"/>
      <c r="L51" s="18" t="n"/>
      <c r="M51" s="10" t="n"/>
      <c r="N51" s="12">
        <f>IF(A51="","",IF(AND(M51&lt;&gt;"",M51&lt;&gt;"Свободна"),M51,IF(COUNTIFS(Брони!$B$2:$B$500,A51,Брони!$F$2:$F$500,"Выдана")&gt;0,"В аренде","Свободна")))</f>
        <v/>
      </c>
      <c r="O51" s="10" t="n"/>
      <c r="P51" s="1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P51"/>
  <conditionalFormatting sqref="J2:L51">
    <cfRule type="expression" priority="1" dxfId="0">
      <formula>AND(J2&lt;&gt;"",J2&lt;TODAY())</formula>
    </cfRule>
    <cfRule type="expression" priority="2" dxfId="3">
      <formula>AND(J2&lt;&gt;"",J2&gt;=TODAY(),J2-TODAY()&lt;=$P$2)</formula>
    </cfRule>
  </conditionalFormatting>
  <conditionalFormatting sqref="A2:A51">
    <cfRule type="expression" priority="3" dxfId="0">
      <formula>AND($A2&lt;&gt;"",COUNTIF($A$2:$A$51,$A2)&gt;1)</formula>
    </cfRule>
  </conditionalFormatting>
  <conditionalFormatting sqref="A2:O51">
    <cfRule type="expression" priority="4" dxfId="2">
      <formula>$O2="пример"</formula>
    </cfRule>
  </conditionalFormatting>
  <dataValidations count="4">
    <dataValidation sqref="D2:D51" showDropDown="0" showInputMessage="0" showErrorMessage="1" allowBlank="1" errorTitle="Проверьте значение" error="Введите целое число" type="whole" operator="greaterThan">
      <formula1>0</formula1>
    </dataValidation>
    <dataValidation sqref="G2:I51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  <dataValidation sqref="M2:M51" showDropDown="0" showInputMessage="0" showErrorMessage="1" allowBlank="1" errorTitle="Проверьте значение" error="Выберите значение из списка" type="list">
      <formula1>Настройки!$L$2:$L$4</formula1>
    </dataValidation>
    <dataValidation sqref="J2:L51" showDropDown="0" showInputMessage="0" showErrorMessage="1" allowBlank="1" errorTitle="Проверьте значение" error="Введите дату, например 2026-10-12" type="custom">
      <formula1>ISNUMBER(J2)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4" customWidth="1" min="3" max="3"/>
    <col width="14" customWidth="1" min="4" max="4"/>
    <col width="24" customWidth="1" min="5" max="5"/>
    <col width="12" customWidth="1" min="6" max="6"/>
    <col width="18" customWidth="1" min="7" max="7"/>
    <col width="12" customWidth="1" min="8" max="8"/>
    <col width="13" customWidth="1" min="9" max="9"/>
    <col width="12" customWidth="1" min="10" max="10"/>
    <col width="12" customWidth="1" min="11" max="11"/>
    <col width="13" customWidth="1" min="12" max="12"/>
    <col width="13" customWidth="1" min="13" max="13"/>
    <col width="17" customWidth="1" min="14" max="14"/>
    <col width="14" customWidth="1" min="15" max="15"/>
    <col width="14" customWidth="1" min="16" max="16"/>
    <col width="18" customWidth="1" min="17" max="17"/>
  </cols>
  <sheetData>
    <row r="1" ht="48" customHeight="1">
      <c r="A1" s="7" t="inlineStr">
        <is>
          <t>Когда</t>
        </is>
      </c>
      <c r="B1" s="7" t="inlineStr">
        <is>
          <t>Машина</t>
        </is>
      </c>
      <c r="C1" s="7" t="inlineStr">
        <is>
          <t>Вид</t>
        </is>
      </c>
      <c r="D1" s="7" t="inlineStr">
        <is>
          <t>Сумма (как в выписке)</t>
        </is>
      </c>
      <c r="E1" s="7" t="inlineStr">
        <is>
          <t>Название: ворота, парковка, нарушение</t>
        </is>
      </c>
      <c r="F1" s="7" t="inlineStr">
        <is>
          <t>Бронь</t>
        </is>
      </c>
      <c r="G1" s="7" t="inlineStr">
        <is>
          <t>Клиент</t>
        </is>
      </c>
      <c r="H1" s="7" t="inlineStr">
        <is>
          <t>Кто платит</t>
        </is>
      </c>
      <c r="I1" s="7" t="inlineStr">
        <is>
          <t>Когда узнали</t>
        </is>
      </c>
      <c r="J1" s="7" t="inlineStr">
        <is>
          <t>После возврата</t>
        </is>
      </c>
      <c r="K1" s="7" t="inlineStr">
        <is>
          <t>Статус штрафа</t>
        </is>
      </c>
      <c r="L1" s="7" t="inlineStr">
        <is>
          <t>Сбор (необязательно)</t>
        </is>
      </c>
      <c r="M1" s="7" t="inlineStr">
        <is>
          <t>К оплате клиентом</t>
        </is>
      </c>
      <c r="N1" s="8" t="inlineStr">
        <is>
          <t>С какого времени ищем аренду (не править)</t>
        </is>
      </c>
      <c r="O1" s="8" t="inlineStr">
        <is>
          <t>Найденная бронь (не править)</t>
        </is>
      </c>
      <c r="P1" s="8" t="inlineStr">
        <is>
          <t>Аренд на это время (не править)</t>
        </is>
      </c>
      <c r="Q1" s="7" t="inlineStr">
        <is>
          <t>Заметки</t>
        </is>
      </c>
    </row>
    <row r="2">
      <c r="A2" s="11">
        <f>TODAY()-1+TIME(8,15,0)</f>
        <v/>
      </c>
      <c r="B2" s="10" t="inlineStr">
        <is>
          <t>BB 69186</t>
        </is>
      </c>
      <c r="C2" s="10" t="inlineStr">
        <is>
          <t>Salik</t>
        </is>
      </c>
      <c r="D2" s="14" t="n">
        <v>5</v>
      </c>
      <c r="E2" s="10" t="inlineStr">
        <is>
          <t>Платные ворота</t>
        </is>
      </c>
      <c r="F2" s="20">
        <f>IF(OR(A2="",B2=""),"",IF(OR(NOT(ISNUMBER(A2)),ISERROR(N2+O2+P2)),"Проверьте даты",IF(AND(N2&gt;0,P2&gt;1),"Дубль",IF(AND(N2&gt;0,O2&gt;0),O2,"Вне аренды"))))</f>
        <v/>
      </c>
      <c r="G2" s="12">
        <f>IF(ISNUMBER(F2),IFERROR(INDEX(Брони!$C$2:$C$500,MATCH(F2,Брони!$A$2:$A$500,0)),""),"")</f>
        <v/>
      </c>
      <c r="H2" s="10" t="inlineStr">
        <is>
          <t>Клиент</t>
        </is>
      </c>
      <c r="I2" s="18" t="n"/>
      <c r="J2" s="12">
        <f>IF(AND(ISNUMBER(F2),I2&lt;&gt;""),IFERROR(IF(AND(INDEX(Брони!$F$2:$F$500,MATCH(F2,Брони!$A$2:$A$500,0))="Возвращена",I2&gt;INDEX(Брони!$E$2:$E$500,MATCH(F2,Брони!$A$2:$A$500,0))),"Да",""),""),"")</f>
        <v/>
      </c>
      <c r="K2" s="10" t="n"/>
      <c r="L2" s="14" t="n"/>
      <c r="M2" s="15">
        <f>IF(OR(A2="",B2=""),"",IF(AND(ISNUMBER(F2),H2&lt;&gt;"Компания"),D2+L2,0))</f>
        <v/>
      </c>
      <c r="N2" s="21">
        <f>SUMPRODUCT(MAX((Брони!$B$2:$B$500=B2)*((Брони!$F$2:$F$500="Выдана")+(Брони!$F$2:$F$500="Возвращена"))*(Брони!$D$2:$D$500&lt;=A2)*Брони!$D$2:$D$500))</f>
        <v/>
      </c>
      <c r="O2" s="19">
        <f>SUMPRODUCT((Брони!$B$2:$B$500=B2)*(Брони!$D$2:$D$500=N2)*((((Брони!$F$2:$F$500="Выдана")*NOW())+((Брони!$F$2:$F$500="Возвращена")*Брони!$E$2:$E$500))&gt;=A2)*Брони!$A$2:$A$500)</f>
        <v/>
      </c>
      <c r="P2" s="19">
        <f>SUMPRODUCT((Брони!$B$2:$B$500=B2)*(Брони!$D$2:$D$500=N2)*(((Брони!$F$2:$F$500="Выдана")+(Брони!$F$2:$F$500="Возвращена"))))</f>
        <v/>
      </c>
      <c r="Q2" s="10" t="inlineStr">
        <is>
          <t>пример</t>
        </is>
      </c>
    </row>
    <row r="3">
      <c r="A3" s="11">
        <f>TODAY()-6+TIME(14,30,0)</f>
        <v/>
      </c>
      <c r="B3" s="10" t="inlineStr">
        <is>
          <t>CC 41077</t>
        </is>
      </c>
      <c r="C3" s="10" t="inlineStr">
        <is>
          <t>Парковка</t>
        </is>
      </c>
      <c r="D3" s="14" t="n">
        <v>12</v>
      </c>
      <c r="E3" s="10" t="inlineStr">
        <is>
          <t>Городская парковка</t>
        </is>
      </c>
      <c r="F3" s="20">
        <f>IF(OR(A3="",B3=""),"",IF(OR(NOT(ISNUMBER(A3)),ISERROR(N3+O3+P3)),"Проверьте даты",IF(AND(N3&gt;0,P3&gt;1),"Дубль",IF(AND(N3&gt;0,O3&gt;0),O3,"Вне аренды"))))</f>
        <v/>
      </c>
      <c r="G3" s="12">
        <f>IF(ISNUMBER(F3),IFERROR(INDEX(Брони!$C$2:$C$500,MATCH(F3,Брони!$A$2:$A$500,0)),""),"")</f>
        <v/>
      </c>
      <c r="H3" s="10" t="inlineStr">
        <is>
          <t>Клиент</t>
        </is>
      </c>
      <c r="I3" s="18" t="n"/>
      <c r="J3" s="12">
        <f>IF(AND(ISNUMBER(F3),I3&lt;&gt;""),IFERROR(IF(AND(INDEX(Брони!$F$2:$F$500,MATCH(F3,Брони!$A$2:$A$500,0))="Возвращена",I3&gt;INDEX(Брони!$E$2:$E$500,MATCH(F3,Брони!$A$2:$A$500,0))),"Да",""),""),"")</f>
        <v/>
      </c>
      <c r="K3" s="10" t="n"/>
      <c r="L3" s="14" t="n"/>
      <c r="M3" s="15">
        <f>IF(OR(A3="",B3=""),"",IF(AND(ISNUMBER(F3),H3&lt;&gt;"Компания"),D3+L3,0))</f>
        <v/>
      </c>
      <c r="N3" s="21">
        <f>SUMPRODUCT(MAX((Брони!$B$2:$B$500=B3)*((Брони!$F$2:$F$500="Выдана")+(Брони!$F$2:$F$500="Возвращена"))*(Брони!$D$2:$D$500&lt;=A3)*Брони!$D$2:$D$500))</f>
        <v/>
      </c>
      <c r="O3" s="19">
        <f>SUMPRODUCT((Брони!$B$2:$B$500=B3)*(Брони!$D$2:$D$500=N3)*((((Брони!$F$2:$F$500="Выдана")*NOW())+((Брони!$F$2:$F$500="Возвращена")*Брони!$E$2:$E$500))&gt;=A3)*Брони!$A$2:$A$500)</f>
        <v/>
      </c>
      <c r="P3" s="19">
        <f>SUMPRODUCT((Брони!$B$2:$B$500=B3)*(Брони!$D$2:$D$500=N3)*(((Брони!$F$2:$F$500="Выдана")+(Брони!$F$2:$F$500="Возвращена"))))</f>
        <v/>
      </c>
      <c r="Q3" s="10" t="inlineStr">
        <is>
          <t>пример</t>
        </is>
      </c>
    </row>
    <row r="4">
      <c r="A4" s="11">
        <f>TODAY()-5+TIME(11,5,0)</f>
        <v/>
      </c>
      <c r="B4" s="10" t="inlineStr">
        <is>
          <t>CC 41077</t>
        </is>
      </c>
      <c r="C4" s="10" t="inlineStr">
        <is>
          <t>Штраф</t>
        </is>
      </c>
      <c r="D4" s="14" t="n">
        <v>200</v>
      </c>
      <c r="E4" s="10" t="inlineStr">
        <is>
          <t>Превышение скорости</t>
        </is>
      </c>
      <c r="F4" s="20">
        <f>IF(OR(A4="",B4=""),"",IF(OR(NOT(ISNUMBER(A4)),ISERROR(N4+O4+P4)),"Проверьте даты",IF(AND(N4&gt;0,P4&gt;1),"Дубль",IF(AND(N4&gt;0,O4&gt;0),O4,"Вне аренды"))))</f>
        <v/>
      </c>
      <c r="G4" s="12">
        <f>IF(ISNUMBER(F4),IFERROR(INDEX(Брони!$C$2:$C$500,MATCH(F4,Брони!$A$2:$A$500,0)),""),"")</f>
        <v/>
      </c>
      <c r="H4" s="10" t="inlineStr">
        <is>
          <t>Клиент</t>
        </is>
      </c>
      <c r="I4" s="18">
        <f>TODAY()-1</f>
        <v/>
      </c>
      <c r="J4" s="12">
        <f>IF(AND(ISNUMBER(F4),I4&lt;&gt;""),IFERROR(IF(AND(INDEX(Брони!$F$2:$F$500,MATCH(F4,Брони!$A$2:$A$500,0))="Возвращена",I4&gt;INDEX(Брони!$E$2:$E$500,MATCH(F4,Брони!$A$2:$A$500,0))),"Да",""),""),"")</f>
        <v/>
      </c>
      <c r="K4" s="10" t="inlineStr">
        <is>
          <t>Открыт</t>
        </is>
      </c>
      <c r="L4" s="14" t="n"/>
      <c r="M4" s="15">
        <f>IF(OR(A4="",B4=""),"",IF(AND(ISNUMBER(F4),H4&lt;&gt;"Компания"),D4+L4,0))</f>
        <v/>
      </c>
      <c r="N4" s="21">
        <f>SUMPRODUCT(MAX((Брони!$B$2:$B$500=B4)*((Брони!$F$2:$F$500="Выдана")+(Брони!$F$2:$F$500="Возвращена"))*(Брони!$D$2:$D$500&lt;=A4)*Брони!$D$2:$D$500))</f>
        <v/>
      </c>
      <c r="O4" s="19">
        <f>SUMPRODUCT((Брони!$B$2:$B$500=B4)*(Брони!$D$2:$D$500=N4)*((((Брони!$F$2:$F$500="Выдана")*NOW())+((Брони!$F$2:$F$500="Возвращена")*Брони!$E$2:$E$500))&gt;=A4)*Брони!$A$2:$A$500)</f>
        <v/>
      </c>
      <c r="P4" s="19">
        <f>SUMPRODUCT((Брони!$B$2:$B$500=B4)*(Брони!$D$2:$D$500=N4)*(((Брони!$F$2:$F$500="Выдана")+(Брони!$F$2:$F$500="Возвращена"))))</f>
        <v/>
      </c>
      <c r="Q4" s="10" t="inlineStr">
        <is>
          <t>пример</t>
        </is>
      </c>
    </row>
    <row r="5">
      <c r="A5" s="11">
        <f>TODAY()-2+TIME(9,0,0)</f>
        <v/>
      </c>
      <c r="B5" s="10" t="inlineStr">
        <is>
          <t>CC 41077</t>
        </is>
      </c>
      <c r="C5" s="10" t="inlineStr">
        <is>
          <t>DARB</t>
        </is>
      </c>
      <c r="D5" s="14" t="n">
        <v>5</v>
      </c>
      <c r="E5" s="10" t="inlineStr">
        <is>
          <t>Платные ворота</t>
        </is>
      </c>
      <c r="F5" s="20">
        <f>IF(OR(A5="",B5=""),"",IF(OR(NOT(ISNUMBER(A5)),ISERROR(N5+O5+P5)),"Проверьте даты",IF(AND(N5&gt;0,P5&gt;1),"Дубль",IF(AND(N5&gt;0,O5&gt;0),O5,"Вне аренды"))))</f>
        <v/>
      </c>
      <c r="G5" s="12">
        <f>IF(ISNUMBER(F5),IFERROR(INDEX(Брони!$C$2:$C$500,MATCH(F5,Брони!$A$2:$A$500,0)),""),"")</f>
        <v/>
      </c>
      <c r="H5" s="10" t="inlineStr">
        <is>
          <t>Клиент</t>
        </is>
      </c>
      <c r="I5" s="18" t="n"/>
      <c r="J5" s="12">
        <f>IF(AND(ISNUMBER(F5),I5&lt;&gt;""),IFERROR(IF(AND(INDEX(Брони!$F$2:$F$500,MATCH(F5,Брони!$A$2:$A$500,0))="Возвращена",I5&gt;INDEX(Брони!$E$2:$E$500,MATCH(F5,Брони!$A$2:$A$500,0))),"Да",""),""),"")</f>
        <v/>
      </c>
      <c r="K5" s="10" t="n"/>
      <c r="L5" s="14" t="n"/>
      <c r="M5" s="15">
        <f>IF(OR(A5="",B5=""),"",IF(AND(ISNUMBER(F5),H5&lt;&gt;"Компания"),D5+L5,0))</f>
        <v/>
      </c>
      <c r="N5" s="21">
        <f>SUMPRODUCT(MAX((Брони!$B$2:$B$500=B5)*((Брони!$F$2:$F$500="Выдана")+(Брони!$F$2:$F$500="Возвращена"))*(Брони!$D$2:$D$500&lt;=A5)*Брони!$D$2:$D$500))</f>
        <v/>
      </c>
      <c r="O5" s="19">
        <f>SUMPRODUCT((Брони!$B$2:$B$500=B5)*(Брони!$D$2:$D$500=N5)*((((Брони!$F$2:$F$500="Выдана")*NOW())+((Брони!$F$2:$F$500="Возвращена")*Брони!$E$2:$E$500))&gt;=A5)*Брони!$A$2:$A$500)</f>
        <v/>
      </c>
      <c r="P5" s="19">
        <f>SUMPRODUCT((Брони!$B$2:$B$500=B5)*(Брони!$D$2:$D$500=N5)*(((Брони!$F$2:$F$500="Выдана")+(Брони!$F$2:$F$500="Возвращена"))))</f>
        <v/>
      </c>
      <c r="Q5" s="10" t="inlineStr">
        <is>
          <t>пример</t>
        </is>
      </c>
    </row>
    <row r="6">
      <c r="A6" s="11">
        <f>TODAY()-1+TIME(16,40,0)</f>
        <v/>
      </c>
      <c r="B6" s="10" t="inlineStr">
        <is>
          <t>BB 69186</t>
        </is>
      </c>
      <c r="C6" s="10" t="inlineStr">
        <is>
          <t>Штраф</t>
        </is>
      </c>
      <c r="D6" s="14" t="n">
        <v>150</v>
      </c>
      <c r="E6" s="10" t="inlineStr">
        <is>
          <t>Парковка в неположенном месте</t>
        </is>
      </c>
      <c r="F6" s="20">
        <f>IF(OR(A6="",B6=""),"",IF(OR(NOT(ISNUMBER(A6)),ISERROR(N6+O6+P6)),"Проверьте даты",IF(AND(N6&gt;0,P6&gt;1),"Дубль",IF(AND(N6&gt;0,O6&gt;0),O6,"Вне аренды"))))</f>
        <v/>
      </c>
      <c r="G6" s="12">
        <f>IF(ISNUMBER(F6),IFERROR(INDEX(Брони!$C$2:$C$500,MATCH(F6,Брони!$A$2:$A$500,0)),""),"")</f>
        <v/>
      </c>
      <c r="H6" s="10" t="inlineStr">
        <is>
          <t>Компания</t>
        </is>
      </c>
      <c r="I6" s="18">
        <f>TODAY()</f>
        <v/>
      </c>
      <c r="J6" s="12">
        <f>IF(AND(ISNUMBER(F6),I6&lt;&gt;""),IFERROR(IF(AND(INDEX(Брони!$F$2:$F$500,MATCH(F6,Брони!$A$2:$A$500,0))="Возвращена",I6&gt;INDEX(Брони!$E$2:$E$500,MATCH(F6,Брони!$A$2:$A$500,0))),"Да",""),""),"")</f>
        <v/>
      </c>
      <c r="K6" s="10" t="inlineStr">
        <is>
          <t>Оплачен</t>
        </is>
      </c>
      <c r="L6" s="14" t="n"/>
      <c r="M6" s="15">
        <f>IF(OR(A6="",B6=""),"",IF(AND(ISNUMBER(F6),H6&lt;&gt;"Компания"),D6+L6,0))</f>
        <v/>
      </c>
      <c r="N6" s="21">
        <f>SUMPRODUCT(MAX((Брони!$B$2:$B$500=B6)*((Брони!$F$2:$F$500="Выдана")+(Брони!$F$2:$F$500="Возвращена"))*(Брони!$D$2:$D$500&lt;=A6)*Брони!$D$2:$D$500))</f>
        <v/>
      </c>
      <c r="O6" s="19">
        <f>SUMPRODUCT((Брони!$B$2:$B$500=B6)*(Брони!$D$2:$D$500=N6)*((((Брони!$F$2:$F$500="Выдана")*NOW())+((Брони!$F$2:$F$500="Возвращена")*Брони!$E$2:$E$500))&gt;=A6)*Брони!$A$2:$A$500)</f>
        <v/>
      </c>
      <c r="P6" s="19">
        <f>SUMPRODUCT((Брони!$B$2:$B$500=B6)*(Брони!$D$2:$D$500=N6)*(((Брони!$F$2:$F$500="Выдана")+(Брони!$F$2:$F$500="Возвращена"))))</f>
        <v/>
      </c>
      <c r="Q6" s="10" t="inlineStr">
        <is>
          <t>пример</t>
        </is>
      </c>
    </row>
    <row r="7">
      <c r="A7" s="11" t="n"/>
      <c r="B7" s="10" t="n"/>
      <c r="C7" s="10" t="n"/>
      <c r="D7" s="14" t="n"/>
      <c r="E7" s="10" t="n"/>
      <c r="F7" s="20">
        <f>IF(OR(A7="",B7=""),"",IF(OR(NOT(ISNUMBER(A7)),ISERROR(N7+O7+P7)),"Проверьте даты",IF(AND(N7&gt;0,P7&gt;1),"Дубль",IF(AND(N7&gt;0,O7&gt;0),O7,"Вне аренды"))))</f>
        <v/>
      </c>
      <c r="G7" s="12">
        <f>IF(ISNUMBER(F7),IFERROR(INDEX(Брони!$C$2:$C$500,MATCH(F7,Брони!$A$2:$A$500,0)),""),"")</f>
        <v/>
      </c>
      <c r="H7" s="10" t="n"/>
      <c r="I7" s="18" t="n"/>
      <c r="J7" s="12">
        <f>IF(AND(ISNUMBER(F7),I7&lt;&gt;""),IFERROR(IF(AND(INDEX(Брони!$F$2:$F$500,MATCH(F7,Брони!$A$2:$A$500,0))="Возвращена",I7&gt;INDEX(Брони!$E$2:$E$500,MATCH(F7,Брони!$A$2:$A$500,0))),"Да",""),""),"")</f>
        <v/>
      </c>
      <c r="K7" s="10" t="n"/>
      <c r="L7" s="14" t="n"/>
      <c r="M7" s="15">
        <f>IF(OR(A7="",B7=""),"",IF(AND(ISNUMBER(F7),H7&lt;&gt;"Компания"),D7+L7,0))</f>
        <v/>
      </c>
      <c r="N7" s="21">
        <f>SUMPRODUCT(MAX((Брони!$B$2:$B$500=B7)*((Брони!$F$2:$F$500="Выдана")+(Брони!$F$2:$F$500="Возвращена"))*(Брони!$D$2:$D$500&lt;=A7)*Брони!$D$2:$D$500))</f>
        <v/>
      </c>
      <c r="O7" s="19">
        <f>SUMPRODUCT((Брони!$B$2:$B$500=B7)*(Брони!$D$2:$D$500=N7)*((((Брони!$F$2:$F$500="Выдана")*NOW())+((Брони!$F$2:$F$500="Возвращена")*Брони!$E$2:$E$500))&gt;=A7)*Брони!$A$2:$A$500)</f>
        <v/>
      </c>
      <c r="P7" s="19">
        <f>SUMPRODUCT((Брони!$B$2:$B$500=B7)*(Брони!$D$2:$D$500=N7)*(((Брони!$F$2:$F$500="Выдана")+(Брони!$F$2:$F$500="Возвращена"))))</f>
        <v/>
      </c>
      <c r="Q7" s="10" t="n"/>
    </row>
    <row r="8">
      <c r="A8" s="11" t="n"/>
      <c r="B8" s="10" t="n"/>
      <c r="C8" s="10" t="n"/>
      <c r="D8" s="14" t="n"/>
      <c r="E8" s="10" t="n"/>
      <c r="F8" s="20">
        <f>IF(OR(A8="",B8=""),"",IF(OR(NOT(ISNUMBER(A8)),ISERROR(N8+O8+P8)),"Проверьте даты",IF(AND(N8&gt;0,P8&gt;1),"Дубль",IF(AND(N8&gt;0,O8&gt;0),O8,"Вне аренды"))))</f>
        <v/>
      </c>
      <c r="G8" s="12">
        <f>IF(ISNUMBER(F8),IFERROR(INDEX(Брони!$C$2:$C$500,MATCH(F8,Брони!$A$2:$A$500,0)),""),"")</f>
        <v/>
      </c>
      <c r="H8" s="10" t="n"/>
      <c r="I8" s="18" t="n"/>
      <c r="J8" s="12">
        <f>IF(AND(ISNUMBER(F8),I8&lt;&gt;""),IFERROR(IF(AND(INDEX(Брони!$F$2:$F$500,MATCH(F8,Брони!$A$2:$A$500,0))="Возвращена",I8&gt;INDEX(Брони!$E$2:$E$500,MATCH(F8,Брони!$A$2:$A$500,0))),"Да",""),""),"")</f>
        <v/>
      </c>
      <c r="K8" s="10" t="n"/>
      <c r="L8" s="14" t="n"/>
      <c r="M8" s="15">
        <f>IF(OR(A8="",B8=""),"",IF(AND(ISNUMBER(F8),H8&lt;&gt;"Компания"),D8+L8,0))</f>
        <v/>
      </c>
      <c r="N8" s="21">
        <f>SUMPRODUCT(MAX((Брони!$B$2:$B$500=B8)*((Брони!$F$2:$F$500="Выдана")+(Брони!$F$2:$F$500="Возвращена"))*(Брони!$D$2:$D$500&lt;=A8)*Брони!$D$2:$D$500))</f>
        <v/>
      </c>
      <c r="O8" s="19">
        <f>SUMPRODUCT((Брони!$B$2:$B$500=B8)*(Брони!$D$2:$D$500=N8)*((((Брони!$F$2:$F$500="Выдана")*NOW())+((Брони!$F$2:$F$500="Возвращена")*Брони!$E$2:$E$500))&gt;=A8)*Брони!$A$2:$A$500)</f>
        <v/>
      </c>
      <c r="P8" s="19">
        <f>SUMPRODUCT((Брони!$B$2:$B$500=B8)*(Брони!$D$2:$D$500=N8)*(((Брони!$F$2:$F$500="Выдана")+(Брони!$F$2:$F$500="Возвращена"))))</f>
        <v/>
      </c>
      <c r="Q8" s="10" t="n"/>
    </row>
    <row r="9">
      <c r="A9" s="11" t="n"/>
      <c r="B9" s="10" t="n"/>
      <c r="C9" s="10" t="n"/>
      <c r="D9" s="14" t="n"/>
      <c r="E9" s="10" t="n"/>
      <c r="F9" s="20">
        <f>IF(OR(A9="",B9=""),"",IF(OR(NOT(ISNUMBER(A9)),ISERROR(N9+O9+P9)),"Проверьте даты",IF(AND(N9&gt;0,P9&gt;1),"Дубль",IF(AND(N9&gt;0,O9&gt;0),O9,"Вне аренды"))))</f>
        <v/>
      </c>
      <c r="G9" s="12">
        <f>IF(ISNUMBER(F9),IFERROR(INDEX(Брони!$C$2:$C$500,MATCH(F9,Брони!$A$2:$A$500,0)),""),"")</f>
        <v/>
      </c>
      <c r="H9" s="10" t="n"/>
      <c r="I9" s="18" t="n"/>
      <c r="J9" s="12">
        <f>IF(AND(ISNUMBER(F9),I9&lt;&gt;""),IFERROR(IF(AND(INDEX(Брони!$F$2:$F$500,MATCH(F9,Брони!$A$2:$A$500,0))="Возвращена",I9&gt;INDEX(Брони!$E$2:$E$500,MATCH(F9,Брони!$A$2:$A$500,0))),"Да",""),""),"")</f>
        <v/>
      </c>
      <c r="K9" s="10" t="n"/>
      <c r="L9" s="14" t="n"/>
      <c r="M9" s="15">
        <f>IF(OR(A9="",B9=""),"",IF(AND(ISNUMBER(F9),H9&lt;&gt;"Компания"),D9+L9,0))</f>
        <v/>
      </c>
      <c r="N9" s="21">
        <f>SUMPRODUCT(MAX((Брони!$B$2:$B$500=B9)*((Брони!$F$2:$F$500="Выдана")+(Брони!$F$2:$F$500="Возвращена"))*(Брони!$D$2:$D$500&lt;=A9)*Брони!$D$2:$D$500))</f>
        <v/>
      </c>
      <c r="O9" s="19">
        <f>SUMPRODUCT((Брони!$B$2:$B$500=B9)*(Брони!$D$2:$D$500=N9)*((((Брони!$F$2:$F$500="Выдана")*NOW())+((Брони!$F$2:$F$500="Возвращена")*Брони!$E$2:$E$500))&gt;=A9)*Брони!$A$2:$A$500)</f>
        <v/>
      </c>
      <c r="P9" s="19">
        <f>SUMPRODUCT((Брони!$B$2:$B$500=B9)*(Брони!$D$2:$D$500=N9)*(((Брони!$F$2:$F$500="Выдана")+(Брони!$F$2:$F$500="Возвращена"))))</f>
        <v/>
      </c>
      <c r="Q9" s="10" t="n"/>
    </row>
    <row r="10">
      <c r="A10" s="11" t="n"/>
      <c r="B10" s="10" t="n"/>
      <c r="C10" s="10" t="n"/>
      <c r="D10" s="14" t="n"/>
      <c r="E10" s="10" t="n"/>
      <c r="F10" s="20">
        <f>IF(OR(A10="",B10=""),"",IF(OR(NOT(ISNUMBER(A10)),ISERROR(N10+O10+P10)),"Проверьте даты",IF(AND(N10&gt;0,P10&gt;1),"Дубль",IF(AND(N10&gt;0,O10&gt;0),O10,"Вне аренды"))))</f>
        <v/>
      </c>
      <c r="G10" s="12">
        <f>IF(ISNUMBER(F10),IFERROR(INDEX(Брони!$C$2:$C$500,MATCH(F10,Брони!$A$2:$A$500,0)),""),"")</f>
        <v/>
      </c>
      <c r="H10" s="10" t="n"/>
      <c r="I10" s="18" t="n"/>
      <c r="J10" s="12">
        <f>IF(AND(ISNUMBER(F10),I10&lt;&gt;""),IFERROR(IF(AND(INDEX(Брони!$F$2:$F$500,MATCH(F10,Брони!$A$2:$A$500,0))="Возвращена",I10&gt;INDEX(Брони!$E$2:$E$500,MATCH(F10,Брони!$A$2:$A$500,0))),"Да",""),""),"")</f>
        <v/>
      </c>
      <c r="K10" s="10" t="n"/>
      <c r="L10" s="14" t="n"/>
      <c r="M10" s="15">
        <f>IF(OR(A10="",B10=""),"",IF(AND(ISNUMBER(F10),H10&lt;&gt;"Компания"),D10+L10,0))</f>
        <v/>
      </c>
      <c r="N10" s="21">
        <f>SUMPRODUCT(MAX((Брони!$B$2:$B$500=B10)*((Брони!$F$2:$F$500="Выдана")+(Брони!$F$2:$F$500="Возвращена"))*(Брони!$D$2:$D$500&lt;=A10)*Брони!$D$2:$D$500))</f>
        <v/>
      </c>
      <c r="O10" s="19">
        <f>SUMPRODUCT((Брони!$B$2:$B$500=B10)*(Брони!$D$2:$D$500=N10)*((((Брони!$F$2:$F$500="Выдана")*NOW())+((Брони!$F$2:$F$500="Возвращена")*Брони!$E$2:$E$500))&gt;=A10)*Брони!$A$2:$A$500)</f>
        <v/>
      </c>
      <c r="P10" s="19">
        <f>SUMPRODUCT((Брони!$B$2:$B$500=B10)*(Брони!$D$2:$D$500=N10)*(((Брони!$F$2:$F$500="Выдана")+(Брони!$F$2:$F$500="Возвращена"))))</f>
        <v/>
      </c>
      <c r="Q10" s="10" t="n"/>
    </row>
    <row r="11">
      <c r="A11" s="11" t="n"/>
      <c r="B11" s="10" t="n"/>
      <c r="C11" s="10" t="n"/>
      <c r="D11" s="14" t="n"/>
      <c r="E11" s="10" t="n"/>
      <c r="F11" s="20">
        <f>IF(OR(A11="",B11=""),"",IF(OR(NOT(ISNUMBER(A11)),ISERROR(N11+O11+P11)),"Проверьте даты",IF(AND(N11&gt;0,P11&gt;1),"Дубль",IF(AND(N11&gt;0,O11&gt;0),O11,"Вне аренды"))))</f>
        <v/>
      </c>
      <c r="G11" s="12">
        <f>IF(ISNUMBER(F11),IFERROR(INDEX(Брони!$C$2:$C$500,MATCH(F11,Брони!$A$2:$A$500,0)),""),"")</f>
        <v/>
      </c>
      <c r="H11" s="10" t="n"/>
      <c r="I11" s="18" t="n"/>
      <c r="J11" s="12">
        <f>IF(AND(ISNUMBER(F11),I11&lt;&gt;""),IFERROR(IF(AND(INDEX(Брони!$F$2:$F$500,MATCH(F11,Брони!$A$2:$A$500,0))="Возвращена",I11&gt;INDEX(Брони!$E$2:$E$500,MATCH(F11,Брони!$A$2:$A$500,0))),"Да",""),""),"")</f>
        <v/>
      </c>
      <c r="K11" s="10" t="n"/>
      <c r="L11" s="14" t="n"/>
      <c r="M11" s="15">
        <f>IF(OR(A11="",B11=""),"",IF(AND(ISNUMBER(F11),H11&lt;&gt;"Компания"),D11+L11,0))</f>
        <v/>
      </c>
      <c r="N11" s="21">
        <f>SUMPRODUCT(MAX((Брони!$B$2:$B$500=B11)*((Брони!$F$2:$F$500="Выдана")+(Брони!$F$2:$F$500="Возвращена"))*(Брони!$D$2:$D$500&lt;=A11)*Брони!$D$2:$D$500))</f>
        <v/>
      </c>
      <c r="O11" s="19">
        <f>SUMPRODUCT((Брони!$B$2:$B$500=B11)*(Брони!$D$2:$D$500=N11)*((((Брони!$F$2:$F$500="Выдана")*NOW())+((Брони!$F$2:$F$500="Возвращена")*Брони!$E$2:$E$500))&gt;=A11)*Брони!$A$2:$A$500)</f>
        <v/>
      </c>
      <c r="P11" s="19">
        <f>SUMPRODUCT((Брони!$B$2:$B$500=B11)*(Брони!$D$2:$D$500=N11)*(((Брони!$F$2:$F$500="Выдана")+(Брони!$F$2:$F$500="Возвращена"))))</f>
        <v/>
      </c>
      <c r="Q11" s="10" t="n"/>
    </row>
    <row r="12">
      <c r="A12" s="11" t="n"/>
      <c r="B12" s="10" t="n"/>
      <c r="C12" s="10" t="n"/>
      <c r="D12" s="14" t="n"/>
      <c r="E12" s="10" t="n"/>
      <c r="F12" s="20">
        <f>IF(OR(A12="",B12=""),"",IF(OR(NOT(ISNUMBER(A12)),ISERROR(N12+O12+P12)),"Проверьте даты",IF(AND(N12&gt;0,P12&gt;1),"Дубль",IF(AND(N12&gt;0,O12&gt;0),O12,"Вне аренды"))))</f>
        <v/>
      </c>
      <c r="G12" s="12">
        <f>IF(ISNUMBER(F12),IFERROR(INDEX(Брони!$C$2:$C$500,MATCH(F12,Брони!$A$2:$A$500,0)),""),"")</f>
        <v/>
      </c>
      <c r="H12" s="10" t="n"/>
      <c r="I12" s="18" t="n"/>
      <c r="J12" s="12">
        <f>IF(AND(ISNUMBER(F12),I12&lt;&gt;""),IFERROR(IF(AND(INDEX(Брони!$F$2:$F$500,MATCH(F12,Брони!$A$2:$A$500,0))="Возвращена",I12&gt;INDEX(Брони!$E$2:$E$500,MATCH(F12,Брони!$A$2:$A$500,0))),"Да",""),""),"")</f>
        <v/>
      </c>
      <c r="K12" s="10" t="n"/>
      <c r="L12" s="14" t="n"/>
      <c r="M12" s="15">
        <f>IF(OR(A12="",B12=""),"",IF(AND(ISNUMBER(F12),H12&lt;&gt;"Компания"),D12+L12,0))</f>
        <v/>
      </c>
      <c r="N12" s="21">
        <f>SUMPRODUCT(MAX((Брони!$B$2:$B$500=B12)*((Брони!$F$2:$F$500="Выдана")+(Брони!$F$2:$F$500="Возвращена"))*(Брони!$D$2:$D$500&lt;=A12)*Брони!$D$2:$D$500))</f>
        <v/>
      </c>
      <c r="O12" s="19">
        <f>SUMPRODUCT((Брони!$B$2:$B$500=B12)*(Брони!$D$2:$D$500=N12)*((((Брони!$F$2:$F$500="Выдана")*NOW())+((Брони!$F$2:$F$500="Возвращена")*Брони!$E$2:$E$500))&gt;=A12)*Брони!$A$2:$A$500)</f>
        <v/>
      </c>
      <c r="P12" s="19">
        <f>SUMPRODUCT((Брони!$B$2:$B$500=B12)*(Брони!$D$2:$D$500=N12)*(((Брони!$F$2:$F$500="Выдана")+(Брони!$F$2:$F$500="Возвращена"))))</f>
        <v/>
      </c>
      <c r="Q12" s="10" t="n"/>
    </row>
    <row r="13">
      <c r="A13" s="11" t="n"/>
      <c r="B13" s="10" t="n"/>
      <c r="C13" s="10" t="n"/>
      <c r="D13" s="14" t="n"/>
      <c r="E13" s="10" t="n"/>
      <c r="F13" s="20">
        <f>IF(OR(A13="",B13=""),"",IF(OR(NOT(ISNUMBER(A13)),ISERROR(N13+O13+P13)),"Проверьте даты",IF(AND(N13&gt;0,P13&gt;1),"Дубль",IF(AND(N13&gt;0,O13&gt;0),O13,"Вне аренды"))))</f>
        <v/>
      </c>
      <c r="G13" s="12">
        <f>IF(ISNUMBER(F13),IFERROR(INDEX(Брони!$C$2:$C$500,MATCH(F13,Брони!$A$2:$A$500,0)),""),"")</f>
        <v/>
      </c>
      <c r="H13" s="10" t="n"/>
      <c r="I13" s="18" t="n"/>
      <c r="J13" s="12">
        <f>IF(AND(ISNUMBER(F13),I13&lt;&gt;""),IFERROR(IF(AND(INDEX(Брони!$F$2:$F$500,MATCH(F13,Брони!$A$2:$A$500,0))="Возвращена",I13&gt;INDEX(Брони!$E$2:$E$500,MATCH(F13,Брони!$A$2:$A$500,0))),"Да",""),""),"")</f>
        <v/>
      </c>
      <c r="K13" s="10" t="n"/>
      <c r="L13" s="14" t="n"/>
      <c r="M13" s="15">
        <f>IF(OR(A13="",B13=""),"",IF(AND(ISNUMBER(F13),H13&lt;&gt;"Компания"),D13+L13,0))</f>
        <v/>
      </c>
      <c r="N13" s="21">
        <f>SUMPRODUCT(MAX((Брони!$B$2:$B$500=B13)*((Брони!$F$2:$F$500="Выдана")+(Брони!$F$2:$F$500="Возвращена"))*(Брони!$D$2:$D$500&lt;=A13)*Брони!$D$2:$D$500))</f>
        <v/>
      </c>
      <c r="O13" s="19">
        <f>SUMPRODUCT((Брони!$B$2:$B$500=B13)*(Брони!$D$2:$D$500=N13)*((((Брони!$F$2:$F$500="Выдана")*NOW())+((Брони!$F$2:$F$500="Возвращена")*Брони!$E$2:$E$500))&gt;=A13)*Брони!$A$2:$A$500)</f>
        <v/>
      </c>
      <c r="P13" s="19">
        <f>SUMPRODUCT((Брони!$B$2:$B$500=B13)*(Брони!$D$2:$D$500=N13)*(((Брони!$F$2:$F$500="Выдана")+(Брони!$F$2:$F$500="Возвращена"))))</f>
        <v/>
      </c>
      <c r="Q13" s="10" t="n"/>
    </row>
    <row r="14">
      <c r="A14" s="11" t="n"/>
      <c r="B14" s="10" t="n"/>
      <c r="C14" s="10" t="n"/>
      <c r="D14" s="14" t="n"/>
      <c r="E14" s="10" t="n"/>
      <c r="F14" s="20">
        <f>IF(OR(A14="",B14=""),"",IF(OR(NOT(ISNUMBER(A14)),ISERROR(N14+O14+P14)),"Проверьте даты",IF(AND(N14&gt;0,P14&gt;1),"Дубль",IF(AND(N14&gt;0,O14&gt;0),O14,"Вне аренды"))))</f>
        <v/>
      </c>
      <c r="G14" s="12">
        <f>IF(ISNUMBER(F14),IFERROR(INDEX(Брони!$C$2:$C$500,MATCH(F14,Брони!$A$2:$A$500,0)),""),"")</f>
        <v/>
      </c>
      <c r="H14" s="10" t="n"/>
      <c r="I14" s="18" t="n"/>
      <c r="J14" s="12">
        <f>IF(AND(ISNUMBER(F14),I14&lt;&gt;""),IFERROR(IF(AND(INDEX(Брони!$F$2:$F$500,MATCH(F14,Брони!$A$2:$A$500,0))="Возвращена",I14&gt;INDEX(Брони!$E$2:$E$500,MATCH(F14,Брони!$A$2:$A$500,0))),"Да",""),""),"")</f>
        <v/>
      </c>
      <c r="K14" s="10" t="n"/>
      <c r="L14" s="14" t="n"/>
      <c r="M14" s="15">
        <f>IF(OR(A14="",B14=""),"",IF(AND(ISNUMBER(F14),H14&lt;&gt;"Компания"),D14+L14,0))</f>
        <v/>
      </c>
      <c r="N14" s="21">
        <f>SUMPRODUCT(MAX((Брони!$B$2:$B$500=B14)*((Брони!$F$2:$F$500="Выдана")+(Брони!$F$2:$F$500="Возвращена"))*(Брони!$D$2:$D$500&lt;=A14)*Брони!$D$2:$D$500))</f>
        <v/>
      </c>
      <c r="O14" s="19">
        <f>SUMPRODUCT((Брони!$B$2:$B$500=B14)*(Брони!$D$2:$D$500=N14)*((((Брони!$F$2:$F$500="Выдана")*NOW())+((Брони!$F$2:$F$500="Возвращена")*Брони!$E$2:$E$500))&gt;=A14)*Брони!$A$2:$A$500)</f>
        <v/>
      </c>
      <c r="P14" s="19">
        <f>SUMPRODUCT((Брони!$B$2:$B$500=B14)*(Брони!$D$2:$D$500=N14)*(((Брони!$F$2:$F$500="Выдана")+(Брони!$F$2:$F$500="Возвращена"))))</f>
        <v/>
      </c>
      <c r="Q14" s="10" t="n"/>
    </row>
    <row r="15">
      <c r="A15" s="11" t="n"/>
      <c r="B15" s="10" t="n"/>
      <c r="C15" s="10" t="n"/>
      <c r="D15" s="14" t="n"/>
      <c r="E15" s="10" t="n"/>
      <c r="F15" s="20">
        <f>IF(OR(A15="",B15=""),"",IF(OR(NOT(ISNUMBER(A15)),ISERROR(N15+O15+P15)),"Проверьте даты",IF(AND(N15&gt;0,P15&gt;1),"Дубль",IF(AND(N15&gt;0,O15&gt;0),O15,"Вне аренды"))))</f>
        <v/>
      </c>
      <c r="G15" s="12">
        <f>IF(ISNUMBER(F15),IFERROR(INDEX(Брони!$C$2:$C$500,MATCH(F15,Брони!$A$2:$A$500,0)),""),"")</f>
        <v/>
      </c>
      <c r="H15" s="10" t="n"/>
      <c r="I15" s="18" t="n"/>
      <c r="J15" s="12">
        <f>IF(AND(ISNUMBER(F15),I15&lt;&gt;""),IFERROR(IF(AND(INDEX(Брони!$F$2:$F$500,MATCH(F15,Брони!$A$2:$A$500,0))="Возвращена",I15&gt;INDEX(Брони!$E$2:$E$500,MATCH(F15,Брони!$A$2:$A$500,0))),"Да",""),""),"")</f>
        <v/>
      </c>
      <c r="K15" s="10" t="n"/>
      <c r="L15" s="14" t="n"/>
      <c r="M15" s="15">
        <f>IF(OR(A15="",B15=""),"",IF(AND(ISNUMBER(F15),H15&lt;&gt;"Компания"),D15+L15,0))</f>
        <v/>
      </c>
      <c r="N15" s="21">
        <f>SUMPRODUCT(MAX((Брони!$B$2:$B$500=B15)*((Брони!$F$2:$F$500="Выдана")+(Брони!$F$2:$F$500="Возвращена"))*(Брони!$D$2:$D$500&lt;=A15)*Брони!$D$2:$D$500))</f>
        <v/>
      </c>
      <c r="O15" s="19">
        <f>SUMPRODUCT((Брони!$B$2:$B$500=B15)*(Брони!$D$2:$D$500=N15)*((((Брони!$F$2:$F$500="Выдана")*NOW())+((Брони!$F$2:$F$500="Возвращена")*Брони!$E$2:$E$500))&gt;=A15)*Брони!$A$2:$A$500)</f>
        <v/>
      </c>
      <c r="P15" s="19">
        <f>SUMPRODUCT((Брони!$B$2:$B$500=B15)*(Брони!$D$2:$D$500=N15)*(((Брони!$F$2:$F$500="Выдана")+(Брони!$F$2:$F$500="Возвращена"))))</f>
        <v/>
      </c>
      <c r="Q15" s="10" t="n"/>
    </row>
    <row r="16">
      <c r="A16" s="11" t="n"/>
      <c r="B16" s="10" t="n"/>
      <c r="C16" s="10" t="n"/>
      <c r="D16" s="14" t="n"/>
      <c r="E16" s="10" t="n"/>
      <c r="F16" s="20">
        <f>IF(OR(A16="",B16=""),"",IF(OR(NOT(ISNUMBER(A16)),ISERROR(N16+O16+P16)),"Проверьте даты",IF(AND(N16&gt;0,P16&gt;1),"Дубль",IF(AND(N16&gt;0,O16&gt;0),O16,"Вне аренды"))))</f>
        <v/>
      </c>
      <c r="G16" s="12">
        <f>IF(ISNUMBER(F16),IFERROR(INDEX(Брони!$C$2:$C$500,MATCH(F16,Брони!$A$2:$A$500,0)),""),"")</f>
        <v/>
      </c>
      <c r="H16" s="10" t="n"/>
      <c r="I16" s="18" t="n"/>
      <c r="J16" s="12">
        <f>IF(AND(ISNUMBER(F16),I16&lt;&gt;""),IFERROR(IF(AND(INDEX(Брони!$F$2:$F$500,MATCH(F16,Брони!$A$2:$A$500,0))="Возвращена",I16&gt;INDEX(Брони!$E$2:$E$500,MATCH(F16,Брони!$A$2:$A$500,0))),"Да",""),""),"")</f>
        <v/>
      </c>
      <c r="K16" s="10" t="n"/>
      <c r="L16" s="14" t="n"/>
      <c r="M16" s="15">
        <f>IF(OR(A16="",B16=""),"",IF(AND(ISNUMBER(F16),H16&lt;&gt;"Компания"),D16+L16,0))</f>
        <v/>
      </c>
      <c r="N16" s="21">
        <f>SUMPRODUCT(MAX((Брони!$B$2:$B$500=B16)*((Брони!$F$2:$F$500="Выдана")+(Брони!$F$2:$F$500="Возвращена"))*(Брони!$D$2:$D$500&lt;=A16)*Брони!$D$2:$D$500))</f>
        <v/>
      </c>
      <c r="O16" s="19">
        <f>SUMPRODUCT((Брони!$B$2:$B$500=B16)*(Брони!$D$2:$D$500=N16)*((((Брони!$F$2:$F$500="Выдана")*NOW())+((Брони!$F$2:$F$500="Возвращена")*Брони!$E$2:$E$500))&gt;=A16)*Брони!$A$2:$A$500)</f>
        <v/>
      </c>
      <c r="P16" s="19">
        <f>SUMPRODUCT((Брони!$B$2:$B$500=B16)*(Брони!$D$2:$D$500=N16)*(((Брони!$F$2:$F$500="Выдана")+(Брони!$F$2:$F$500="Возвращена"))))</f>
        <v/>
      </c>
      <c r="Q16" s="10" t="n"/>
    </row>
    <row r="17">
      <c r="A17" s="11" t="n"/>
      <c r="B17" s="10" t="n"/>
      <c r="C17" s="10" t="n"/>
      <c r="D17" s="14" t="n"/>
      <c r="E17" s="10" t="n"/>
      <c r="F17" s="20">
        <f>IF(OR(A17="",B17=""),"",IF(OR(NOT(ISNUMBER(A17)),ISERROR(N17+O17+P17)),"Проверьте даты",IF(AND(N17&gt;0,P17&gt;1),"Дубль",IF(AND(N17&gt;0,O17&gt;0),O17,"Вне аренды"))))</f>
        <v/>
      </c>
      <c r="G17" s="12">
        <f>IF(ISNUMBER(F17),IFERROR(INDEX(Брони!$C$2:$C$500,MATCH(F17,Брони!$A$2:$A$500,0)),""),"")</f>
        <v/>
      </c>
      <c r="H17" s="10" t="n"/>
      <c r="I17" s="18" t="n"/>
      <c r="J17" s="12">
        <f>IF(AND(ISNUMBER(F17),I17&lt;&gt;""),IFERROR(IF(AND(INDEX(Брони!$F$2:$F$500,MATCH(F17,Брони!$A$2:$A$500,0))="Возвращена",I17&gt;INDEX(Брони!$E$2:$E$500,MATCH(F17,Брони!$A$2:$A$500,0))),"Да",""),""),"")</f>
        <v/>
      </c>
      <c r="K17" s="10" t="n"/>
      <c r="L17" s="14" t="n"/>
      <c r="M17" s="15">
        <f>IF(OR(A17="",B17=""),"",IF(AND(ISNUMBER(F17),H17&lt;&gt;"Компания"),D17+L17,0))</f>
        <v/>
      </c>
      <c r="N17" s="21">
        <f>SUMPRODUCT(MAX((Брони!$B$2:$B$500=B17)*((Брони!$F$2:$F$500="Выдана")+(Брони!$F$2:$F$500="Возвращена"))*(Брони!$D$2:$D$500&lt;=A17)*Брони!$D$2:$D$500))</f>
        <v/>
      </c>
      <c r="O17" s="19">
        <f>SUMPRODUCT((Брони!$B$2:$B$500=B17)*(Брони!$D$2:$D$500=N17)*((((Брони!$F$2:$F$500="Выдана")*NOW())+((Брони!$F$2:$F$500="Возвращена")*Брони!$E$2:$E$500))&gt;=A17)*Брони!$A$2:$A$500)</f>
        <v/>
      </c>
      <c r="P17" s="19">
        <f>SUMPRODUCT((Брони!$B$2:$B$500=B17)*(Брони!$D$2:$D$500=N17)*(((Брони!$F$2:$F$500="Выдана")+(Брони!$F$2:$F$500="Возвращена"))))</f>
        <v/>
      </c>
      <c r="Q17" s="10" t="n"/>
    </row>
    <row r="18">
      <c r="A18" s="11" t="n"/>
      <c r="B18" s="10" t="n"/>
      <c r="C18" s="10" t="n"/>
      <c r="D18" s="14" t="n"/>
      <c r="E18" s="10" t="n"/>
      <c r="F18" s="20">
        <f>IF(OR(A18="",B18=""),"",IF(OR(NOT(ISNUMBER(A18)),ISERROR(N18+O18+P18)),"Проверьте даты",IF(AND(N18&gt;0,P18&gt;1),"Дубль",IF(AND(N18&gt;0,O18&gt;0),O18,"Вне аренды"))))</f>
        <v/>
      </c>
      <c r="G18" s="12">
        <f>IF(ISNUMBER(F18),IFERROR(INDEX(Брони!$C$2:$C$500,MATCH(F18,Брони!$A$2:$A$500,0)),""),"")</f>
        <v/>
      </c>
      <c r="H18" s="10" t="n"/>
      <c r="I18" s="18" t="n"/>
      <c r="J18" s="12">
        <f>IF(AND(ISNUMBER(F18),I18&lt;&gt;""),IFERROR(IF(AND(INDEX(Брони!$F$2:$F$500,MATCH(F18,Брони!$A$2:$A$500,0))="Возвращена",I18&gt;INDEX(Брони!$E$2:$E$500,MATCH(F18,Брони!$A$2:$A$500,0))),"Да",""),""),"")</f>
        <v/>
      </c>
      <c r="K18" s="10" t="n"/>
      <c r="L18" s="14" t="n"/>
      <c r="M18" s="15">
        <f>IF(OR(A18="",B18=""),"",IF(AND(ISNUMBER(F18),H18&lt;&gt;"Компания"),D18+L18,0))</f>
        <v/>
      </c>
      <c r="N18" s="21">
        <f>SUMPRODUCT(MAX((Брони!$B$2:$B$500=B18)*((Брони!$F$2:$F$500="Выдана")+(Брони!$F$2:$F$500="Возвращена"))*(Брони!$D$2:$D$500&lt;=A18)*Брони!$D$2:$D$500))</f>
        <v/>
      </c>
      <c r="O18" s="19">
        <f>SUMPRODUCT((Брони!$B$2:$B$500=B18)*(Брони!$D$2:$D$500=N18)*((((Брони!$F$2:$F$500="Выдана")*NOW())+((Брони!$F$2:$F$500="Возвращена")*Брони!$E$2:$E$500))&gt;=A18)*Брони!$A$2:$A$500)</f>
        <v/>
      </c>
      <c r="P18" s="19">
        <f>SUMPRODUCT((Брони!$B$2:$B$500=B18)*(Брони!$D$2:$D$500=N18)*(((Брони!$F$2:$F$500="Выдана")+(Брони!$F$2:$F$500="Возвращена"))))</f>
        <v/>
      </c>
      <c r="Q18" s="10" t="n"/>
    </row>
    <row r="19">
      <c r="A19" s="11" t="n"/>
      <c r="B19" s="10" t="n"/>
      <c r="C19" s="10" t="n"/>
      <c r="D19" s="14" t="n"/>
      <c r="E19" s="10" t="n"/>
      <c r="F19" s="20">
        <f>IF(OR(A19="",B19=""),"",IF(OR(NOT(ISNUMBER(A19)),ISERROR(N19+O19+P19)),"Проверьте даты",IF(AND(N19&gt;0,P19&gt;1),"Дубль",IF(AND(N19&gt;0,O19&gt;0),O19,"Вне аренды"))))</f>
        <v/>
      </c>
      <c r="G19" s="12">
        <f>IF(ISNUMBER(F19),IFERROR(INDEX(Брони!$C$2:$C$500,MATCH(F19,Брони!$A$2:$A$500,0)),""),"")</f>
        <v/>
      </c>
      <c r="H19" s="10" t="n"/>
      <c r="I19" s="18" t="n"/>
      <c r="J19" s="12">
        <f>IF(AND(ISNUMBER(F19),I19&lt;&gt;""),IFERROR(IF(AND(INDEX(Брони!$F$2:$F$500,MATCH(F19,Брони!$A$2:$A$500,0))="Возвращена",I19&gt;INDEX(Брони!$E$2:$E$500,MATCH(F19,Брони!$A$2:$A$500,0))),"Да",""),""),"")</f>
        <v/>
      </c>
      <c r="K19" s="10" t="n"/>
      <c r="L19" s="14" t="n"/>
      <c r="M19" s="15">
        <f>IF(OR(A19="",B19=""),"",IF(AND(ISNUMBER(F19),H19&lt;&gt;"Компания"),D19+L19,0))</f>
        <v/>
      </c>
      <c r="N19" s="21">
        <f>SUMPRODUCT(MAX((Брони!$B$2:$B$500=B19)*((Брони!$F$2:$F$500="Выдана")+(Брони!$F$2:$F$500="Возвращена"))*(Брони!$D$2:$D$500&lt;=A19)*Брони!$D$2:$D$500))</f>
        <v/>
      </c>
      <c r="O19" s="19">
        <f>SUMPRODUCT((Брони!$B$2:$B$500=B19)*(Брони!$D$2:$D$500=N19)*((((Брони!$F$2:$F$500="Выдана")*NOW())+((Брони!$F$2:$F$500="Возвращена")*Брони!$E$2:$E$500))&gt;=A19)*Брони!$A$2:$A$500)</f>
        <v/>
      </c>
      <c r="P19" s="19">
        <f>SUMPRODUCT((Брони!$B$2:$B$500=B19)*(Брони!$D$2:$D$500=N19)*(((Брони!$F$2:$F$500="Выдана")+(Брони!$F$2:$F$500="Возвращена"))))</f>
        <v/>
      </c>
      <c r="Q19" s="10" t="n"/>
    </row>
    <row r="20">
      <c r="A20" s="11" t="n"/>
      <c r="B20" s="10" t="n"/>
      <c r="C20" s="10" t="n"/>
      <c r="D20" s="14" t="n"/>
      <c r="E20" s="10" t="n"/>
      <c r="F20" s="20">
        <f>IF(OR(A20="",B20=""),"",IF(OR(NOT(ISNUMBER(A20)),ISERROR(N20+O20+P20)),"Проверьте даты",IF(AND(N20&gt;0,P20&gt;1),"Дубль",IF(AND(N20&gt;0,O20&gt;0),O20,"Вне аренды"))))</f>
        <v/>
      </c>
      <c r="G20" s="12">
        <f>IF(ISNUMBER(F20),IFERROR(INDEX(Брони!$C$2:$C$500,MATCH(F20,Брони!$A$2:$A$500,0)),""),"")</f>
        <v/>
      </c>
      <c r="H20" s="10" t="n"/>
      <c r="I20" s="18" t="n"/>
      <c r="J20" s="12">
        <f>IF(AND(ISNUMBER(F20),I20&lt;&gt;""),IFERROR(IF(AND(INDEX(Брони!$F$2:$F$500,MATCH(F20,Брони!$A$2:$A$500,0))="Возвращена",I20&gt;INDEX(Брони!$E$2:$E$500,MATCH(F20,Брони!$A$2:$A$500,0))),"Да",""),""),"")</f>
        <v/>
      </c>
      <c r="K20" s="10" t="n"/>
      <c r="L20" s="14" t="n"/>
      <c r="M20" s="15">
        <f>IF(OR(A20="",B20=""),"",IF(AND(ISNUMBER(F20),H20&lt;&gt;"Компания"),D20+L20,0))</f>
        <v/>
      </c>
      <c r="N20" s="21">
        <f>SUMPRODUCT(MAX((Брони!$B$2:$B$500=B20)*((Брони!$F$2:$F$500="Выдана")+(Брони!$F$2:$F$500="Возвращена"))*(Брони!$D$2:$D$500&lt;=A20)*Брони!$D$2:$D$500))</f>
        <v/>
      </c>
      <c r="O20" s="19">
        <f>SUMPRODUCT((Брони!$B$2:$B$500=B20)*(Брони!$D$2:$D$500=N20)*((((Брони!$F$2:$F$500="Выдана")*NOW())+((Брони!$F$2:$F$500="Возвращена")*Брони!$E$2:$E$500))&gt;=A20)*Брони!$A$2:$A$500)</f>
        <v/>
      </c>
      <c r="P20" s="19">
        <f>SUMPRODUCT((Брони!$B$2:$B$500=B20)*(Брони!$D$2:$D$500=N20)*(((Брони!$F$2:$F$500="Выдана")+(Брони!$F$2:$F$500="Возвращена"))))</f>
        <v/>
      </c>
      <c r="Q20" s="10" t="n"/>
    </row>
    <row r="21">
      <c r="A21" s="11" t="n"/>
      <c r="B21" s="10" t="n"/>
      <c r="C21" s="10" t="n"/>
      <c r="D21" s="14" t="n"/>
      <c r="E21" s="10" t="n"/>
      <c r="F21" s="20">
        <f>IF(OR(A21="",B21=""),"",IF(OR(NOT(ISNUMBER(A21)),ISERROR(N21+O21+P21)),"Проверьте даты",IF(AND(N21&gt;0,P21&gt;1),"Дубль",IF(AND(N21&gt;0,O21&gt;0),O21,"Вне аренды"))))</f>
        <v/>
      </c>
      <c r="G21" s="12">
        <f>IF(ISNUMBER(F21),IFERROR(INDEX(Брони!$C$2:$C$500,MATCH(F21,Брони!$A$2:$A$500,0)),""),"")</f>
        <v/>
      </c>
      <c r="H21" s="10" t="n"/>
      <c r="I21" s="18" t="n"/>
      <c r="J21" s="12">
        <f>IF(AND(ISNUMBER(F21),I21&lt;&gt;""),IFERROR(IF(AND(INDEX(Брони!$F$2:$F$500,MATCH(F21,Брони!$A$2:$A$500,0))="Возвращена",I21&gt;INDEX(Брони!$E$2:$E$500,MATCH(F21,Брони!$A$2:$A$500,0))),"Да",""),""),"")</f>
        <v/>
      </c>
      <c r="K21" s="10" t="n"/>
      <c r="L21" s="14" t="n"/>
      <c r="M21" s="15">
        <f>IF(OR(A21="",B21=""),"",IF(AND(ISNUMBER(F21),H21&lt;&gt;"Компания"),D21+L21,0))</f>
        <v/>
      </c>
      <c r="N21" s="21">
        <f>SUMPRODUCT(MAX((Брони!$B$2:$B$500=B21)*((Брони!$F$2:$F$500="Выдана")+(Брони!$F$2:$F$500="Возвращена"))*(Брони!$D$2:$D$500&lt;=A21)*Брони!$D$2:$D$500))</f>
        <v/>
      </c>
      <c r="O21" s="19">
        <f>SUMPRODUCT((Брони!$B$2:$B$500=B21)*(Брони!$D$2:$D$500=N21)*((((Брони!$F$2:$F$500="Выдана")*NOW())+((Брони!$F$2:$F$500="Возвращена")*Брони!$E$2:$E$500))&gt;=A21)*Брони!$A$2:$A$500)</f>
        <v/>
      </c>
      <c r="P21" s="19">
        <f>SUMPRODUCT((Брони!$B$2:$B$500=B21)*(Брони!$D$2:$D$500=N21)*(((Брони!$F$2:$F$500="Выдана")+(Брони!$F$2:$F$500="Возвращена"))))</f>
        <v/>
      </c>
      <c r="Q21" s="10" t="n"/>
    </row>
    <row r="22">
      <c r="A22" s="11" t="n"/>
      <c r="B22" s="10" t="n"/>
      <c r="C22" s="10" t="n"/>
      <c r="D22" s="14" t="n"/>
      <c r="E22" s="10" t="n"/>
      <c r="F22" s="20">
        <f>IF(OR(A22="",B22=""),"",IF(OR(NOT(ISNUMBER(A22)),ISERROR(N22+O22+P22)),"Проверьте даты",IF(AND(N22&gt;0,P22&gt;1),"Дубль",IF(AND(N22&gt;0,O22&gt;0),O22,"Вне аренды"))))</f>
        <v/>
      </c>
      <c r="G22" s="12">
        <f>IF(ISNUMBER(F22),IFERROR(INDEX(Брони!$C$2:$C$500,MATCH(F22,Брони!$A$2:$A$500,0)),""),"")</f>
        <v/>
      </c>
      <c r="H22" s="10" t="n"/>
      <c r="I22" s="18" t="n"/>
      <c r="J22" s="12">
        <f>IF(AND(ISNUMBER(F22),I22&lt;&gt;""),IFERROR(IF(AND(INDEX(Брони!$F$2:$F$500,MATCH(F22,Брони!$A$2:$A$500,0))="Возвращена",I22&gt;INDEX(Брони!$E$2:$E$500,MATCH(F22,Брони!$A$2:$A$500,0))),"Да",""),""),"")</f>
        <v/>
      </c>
      <c r="K22" s="10" t="n"/>
      <c r="L22" s="14" t="n"/>
      <c r="M22" s="15">
        <f>IF(OR(A22="",B22=""),"",IF(AND(ISNUMBER(F22),H22&lt;&gt;"Компания"),D22+L22,0))</f>
        <v/>
      </c>
      <c r="N22" s="21">
        <f>SUMPRODUCT(MAX((Брони!$B$2:$B$500=B22)*((Брони!$F$2:$F$500="Выдана")+(Брони!$F$2:$F$500="Возвращена"))*(Брони!$D$2:$D$500&lt;=A22)*Брони!$D$2:$D$500))</f>
        <v/>
      </c>
      <c r="O22" s="19">
        <f>SUMPRODUCT((Брони!$B$2:$B$500=B22)*(Брони!$D$2:$D$500=N22)*((((Брони!$F$2:$F$500="Выдана")*NOW())+((Брони!$F$2:$F$500="Возвращена")*Брони!$E$2:$E$500))&gt;=A22)*Брони!$A$2:$A$500)</f>
        <v/>
      </c>
      <c r="P22" s="19">
        <f>SUMPRODUCT((Брони!$B$2:$B$500=B22)*(Брони!$D$2:$D$500=N22)*(((Брони!$F$2:$F$500="Выдана")+(Брони!$F$2:$F$500="Возвращена"))))</f>
        <v/>
      </c>
      <c r="Q22" s="10" t="n"/>
    </row>
    <row r="23">
      <c r="A23" s="11" t="n"/>
      <c r="B23" s="10" t="n"/>
      <c r="C23" s="10" t="n"/>
      <c r="D23" s="14" t="n"/>
      <c r="E23" s="10" t="n"/>
      <c r="F23" s="20">
        <f>IF(OR(A23="",B23=""),"",IF(OR(NOT(ISNUMBER(A23)),ISERROR(N23+O23+P23)),"Проверьте даты",IF(AND(N23&gt;0,P23&gt;1),"Дубль",IF(AND(N23&gt;0,O23&gt;0),O23,"Вне аренды"))))</f>
        <v/>
      </c>
      <c r="G23" s="12">
        <f>IF(ISNUMBER(F23),IFERROR(INDEX(Брони!$C$2:$C$500,MATCH(F23,Брони!$A$2:$A$500,0)),""),"")</f>
        <v/>
      </c>
      <c r="H23" s="10" t="n"/>
      <c r="I23" s="18" t="n"/>
      <c r="J23" s="12">
        <f>IF(AND(ISNUMBER(F23),I23&lt;&gt;""),IFERROR(IF(AND(INDEX(Брони!$F$2:$F$500,MATCH(F23,Брони!$A$2:$A$500,0))="Возвращена",I23&gt;INDEX(Брони!$E$2:$E$500,MATCH(F23,Брони!$A$2:$A$500,0))),"Да",""),""),"")</f>
        <v/>
      </c>
      <c r="K23" s="10" t="n"/>
      <c r="L23" s="14" t="n"/>
      <c r="M23" s="15">
        <f>IF(OR(A23="",B23=""),"",IF(AND(ISNUMBER(F23),H23&lt;&gt;"Компания"),D23+L23,0))</f>
        <v/>
      </c>
      <c r="N23" s="21">
        <f>SUMPRODUCT(MAX((Брони!$B$2:$B$500=B23)*((Брони!$F$2:$F$500="Выдана")+(Брони!$F$2:$F$500="Возвращена"))*(Брони!$D$2:$D$500&lt;=A23)*Брони!$D$2:$D$500))</f>
        <v/>
      </c>
      <c r="O23" s="19">
        <f>SUMPRODUCT((Брони!$B$2:$B$500=B23)*(Брони!$D$2:$D$500=N23)*((((Брони!$F$2:$F$500="Выдана")*NOW())+((Брони!$F$2:$F$500="Возвращена")*Брони!$E$2:$E$500))&gt;=A23)*Брони!$A$2:$A$500)</f>
        <v/>
      </c>
      <c r="P23" s="19">
        <f>SUMPRODUCT((Брони!$B$2:$B$500=B23)*(Брони!$D$2:$D$500=N23)*(((Брони!$F$2:$F$500="Выдана")+(Брони!$F$2:$F$500="Возвращена"))))</f>
        <v/>
      </c>
      <c r="Q23" s="10" t="n"/>
    </row>
    <row r="24">
      <c r="A24" s="11" t="n"/>
      <c r="B24" s="10" t="n"/>
      <c r="C24" s="10" t="n"/>
      <c r="D24" s="14" t="n"/>
      <c r="E24" s="10" t="n"/>
      <c r="F24" s="20">
        <f>IF(OR(A24="",B24=""),"",IF(OR(NOT(ISNUMBER(A24)),ISERROR(N24+O24+P24)),"Проверьте даты",IF(AND(N24&gt;0,P24&gt;1),"Дубль",IF(AND(N24&gt;0,O24&gt;0),O24,"Вне аренды"))))</f>
        <v/>
      </c>
      <c r="G24" s="12">
        <f>IF(ISNUMBER(F24),IFERROR(INDEX(Брони!$C$2:$C$500,MATCH(F24,Брони!$A$2:$A$500,0)),""),"")</f>
        <v/>
      </c>
      <c r="H24" s="10" t="n"/>
      <c r="I24" s="18" t="n"/>
      <c r="J24" s="12">
        <f>IF(AND(ISNUMBER(F24),I24&lt;&gt;""),IFERROR(IF(AND(INDEX(Брони!$F$2:$F$500,MATCH(F24,Брони!$A$2:$A$500,0))="Возвращена",I24&gt;INDEX(Брони!$E$2:$E$500,MATCH(F24,Брони!$A$2:$A$500,0))),"Да",""),""),"")</f>
        <v/>
      </c>
      <c r="K24" s="10" t="n"/>
      <c r="L24" s="14" t="n"/>
      <c r="M24" s="15">
        <f>IF(OR(A24="",B24=""),"",IF(AND(ISNUMBER(F24),H24&lt;&gt;"Компания"),D24+L24,0))</f>
        <v/>
      </c>
      <c r="N24" s="21">
        <f>SUMPRODUCT(MAX((Брони!$B$2:$B$500=B24)*((Брони!$F$2:$F$500="Выдана")+(Брони!$F$2:$F$500="Возвращена"))*(Брони!$D$2:$D$500&lt;=A24)*Брони!$D$2:$D$500))</f>
        <v/>
      </c>
      <c r="O24" s="19">
        <f>SUMPRODUCT((Брони!$B$2:$B$500=B24)*(Брони!$D$2:$D$500=N24)*((((Брони!$F$2:$F$500="Выдана")*NOW())+((Брони!$F$2:$F$500="Возвращена")*Брони!$E$2:$E$500))&gt;=A24)*Брони!$A$2:$A$500)</f>
        <v/>
      </c>
      <c r="P24" s="19">
        <f>SUMPRODUCT((Брони!$B$2:$B$500=B24)*(Брони!$D$2:$D$500=N24)*(((Брони!$F$2:$F$500="Выдана")+(Брони!$F$2:$F$500="Возвращена"))))</f>
        <v/>
      </c>
      <c r="Q24" s="10" t="n"/>
    </row>
    <row r="25">
      <c r="A25" s="11" t="n"/>
      <c r="B25" s="10" t="n"/>
      <c r="C25" s="10" t="n"/>
      <c r="D25" s="14" t="n"/>
      <c r="E25" s="10" t="n"/>
      <c r="F25" s="20">
        <f>IF(OR(A25="",B25=""),"",IF(OR(NOT(ISNUMBER(A25)),ISERROR(N25+O25+P25)),"Проверьте даты",IF(AND(N25&gt;0,P25&gt;1),"Дубль",IF(AND(N25&gt;0,O25&gt;0),O25,"Вне аренды"))))</f>
        <v/>
      </c>
      <c r="G25" s="12">
        <f>IF(ISNUMBER(F25),IFERROR(INDEX(Брони!$C$2:$C$500,MATCH(F25,Брони!$A$2:$A$500,0)),""),"")</f>
        <v/>
      </c>
      <c r="H25" s="10" t="n"/>
      <c r="I25" s="18" t="n"/>
      <c r="J25" s="12">
        <f>IF(AND(ISNUMBER(F25),I25&lt;&gt;""),IFERROR(IF(AND(INDEX(Брони!$F$2:$F$500,MATCH(F25,Брони!$A$2:$A$500,0))="Возвращена",I25&gt;INDEX(Брони!$E$2:$E$500,MATCH(F25,Брони!$A$2:$A$500,0))),"Да",""),""),"")</f>
        <v/>
      </c>
      <c r="K25" s="10" t="n"/>
      <c r="L25" s="14" t="n"/>
      <c r="M25" s="15">
        <f>IF(OR(A25="",B25=""),"",IF(AND(ISNUMBER(F25),H25&lt;&gt;"Компания"),D25+L25,0))</f>
        <v/>
      </c>
      <c r="N25" s="21">
        <f>SUMPRODUCT(MAX((Брони!$B$2:$B$500=B25)*((Брони!$F$2:$F$500="Выдана")+(Брони!$F$2:$F$500="Возвращена"))*(Брони!$D$2:$D$500&lt;=A25)*Брони!$D$2:$D$500))</f>
        <v/>
      </c>
      <c r="O25" s="19">
        <f>SUMPRODUCT((Брони!$B$2:$B$500=B25)*(Брони!$D$2:$D$500=N25)*((((Брони!$F$2:$F$500="Выдана")*NOW())+((Брони!$F$2:$F$500="Возвращена")*Брони!$E$2:$E$500))&gt;=A25)*Брони!$A$2:$A$500)</f>
        <v/>
      </c>
      <c r="P25" s="19">
        <f>SUMPRODUCT((Брони!$B$2:$B$500=B25)*(Брони!$D$2:$D$500=N25)*(((Брони!$F$2:$F$500="Выдана")+(Брони!$F$2:$F$500="Возвращена"))))</f>
        <v/>
      </c>
      <c r="Q25" s="10" t="n"/>
    </row>
    <row r="26">
      <c r="A26" s="11" t="n"/>
      <c r="B26" s="10" t="n"/>
      <c r="C26" s="10" t="n"/>
      <c r="D26" s="14" t="n"/>
      <c r="E26" s="10" t="n"/>
      <c r="F26" s="20">
        <f>IF(OR(A26="",B26=""),"",IF(OR(NOT(ISNUMBER(A26)),ISERROR(N26+O26+P26)),"Проверьте даты",IF(AND(N26&gt;0,P26&gt;1),"Дубль",IF(AND(N26&gt;0,O26&gt;0),O26,"Вне аренды"))))</f>
        <v/>
      </c>
      <c r="G26" s="12">
        <f>IF(ISNUMBER(F26),IFERROR(INDEX(Брони!$C$2:$C$500,MATCH(F26,Брони!$A$2:$A$500,0)),""),"")</f>
        <v/>
      </c>
      <c r="H26" s="10" t="n"/>
      <c r="I26" s="18" t="n"/>
      <c r="J26" s="12">
        <f>IF(AND(ISNUMBER(F26),I26&lt;&gt;""),IFERROR(IF(AND(INDEX(Брони!$F$2:$F$500,MATCH(F26,Брони!$A$2:$A$500,0))="Возвращена",I26&gt;INDEX(Брони!$E$2:$E$500,MATCH(F26,Брони!$A$2:$A$500,0))),"Да",""),""),"")</f>
        <v/>
      </c>
      <c r="K26" s="10" t="n"/>
      <c r="L26" s="14" t="n"/>
      <c r="M26" s="15">
        <f>IF(OR(A26="",B26=""),"",IF(AND(ISNUMBER(F26),H26&lt;&gt;"Компания"),D26+L26,0))</f>
        <v/>
      </c>
      <c r="N26" s="21">
        <f>SUMPRODUCT(MAX((Брони!$B$2:$B$500=B26)*((Брони!$F$2:$F$500="Выдана")+(Брони!$F$2:$F$500="Возвращена"))*(Брони!$D$2:$D$500&lt;=A26)*Брони!$D$2:$D$500))</f>
        <v/>
      </c>
      <c r="O26" s="19">
        <f>SUMPRODUCT((Брони!$B$2:$B$500=B26)*(Брони!$D$2:$D$500=N26)*((((Брони!$F$2:$F$500="Выдана")*NOW())+((Брони!$F$2:$F$500="Возвращена")*Брони!$E$2:$E$500))&gt;=A26)*Брони!$A$2:$A$500)</f>
        <v/>
      </c>
      <c r="P26" s="19">
        <f>SUMPRODUCT((Брони!$B$2:$B$500=B26)*(Брони!$D$2:$D$500=N26)*(((Брони!$F$2:$F$500="Выдана")+(Брони!$F$2:$F$500="Возвращена"))))</f>
        <v/>
      </c>
      <c r="Q26" s="10" t="n"/>
    </row>
    <row r="27">
      <c r="A27" s="11" t="n"/>
      <c r="B27" s="10" t="n"/>
      <c r="C27" s="10" t="n"/>
      <c r="D27" s="14" t="n"/>
      <c r="E27" s="10" t="n"/>
      <c r="F27" s="20">
        <f>IF(OR(A27="",B27=""),"",IF(OR(NOT(ISNUMBER(A27)),ISERROR(N27+O27+P27)),"Проверьте даты",IF(AND(N27&gt;0,P27&gt;1),"Дубль",IF(AND(N27&gt;0,O27&gt;0),O27,"Вне аренды"))))</f>
        <v/>
      </c>
      <c r="G27" s="12">
        <f>IF(ISNUMBER(F27),IFERROR(INDEX(Брони!$C$2:$C$500,MATCH(F27,Брони!$A$2:$A$500,0)),""),"")</f>
        <v/>
      </c>
      <c r="H27" s="10" t="n"/>
      <c r="I27" s="18" t="n"/>
      <c r="J27" s="12">
        <f>IF(AND(ISNUMBER(F27),I27&lt;&gt;""),IFERROR(IF(AND(INDEX(Брони!$F$2:$F$500,MATCH(F27,Брони!$A$2:$A$500,0))="Возвращена",I27&gt;INDEX(Брони!$E$2:$E$500,MATCH(F27,Брони!$A$2:$A$500,0))),"Да",""),""),"")</f>
        <v/>
      </c>
      <c r="K27" s="10" t="n"/>
      <c r="L27" s="14" t="n"/>
      <c r="M27" s="15">
        <f>IF(OR(A27="",B27=""),"",IF(AND(ISNUMBER(F27),H27&lt;&gt;"Компания"),D27+L27,0))</f>
        <v/>
      </c>
      <c r="N27" s="21">
        <f>SUMPRODUCT(MAX((Брони!$B$2:$B$500=B27)*((Брони!$F$2:$F$500="Выдана")+(Брони!$F$2:$F$500="Возвращена"))*(Брони!$D$2:$D$500&lt;=A27)*Брони!$D$2:$D$500))</f>
        <v/>
      </c>
      <c r="O27" s="19">
        <f>SUMPRODUCT((Брони!$B$2:$B$500=B27)*(Брони!$D$2:$D$500=N27)*((((Брони!$F$2:$F$500="Выдана")*NOW())+((Брони!$F$2:$F$500="Возвращена")*Брони!$E$2:$E$500))&gt;=A27)*Брони!$A$2:$A$500)</f>
        <v/>
      </c>
      <c r="P27" s="19">
        <f>SUMPRODUCT((Брони!$B$2:$B$500=B27)*(Брони!$D$2:$D$500=N27)*(((Брони!$F$2:$F$500="Выдана")+(Брони!$F$2:$F$500="Возвращена"))))</f>
        <v/>
      </c>
      <c r="Q27" s="10" t="n"/>
    </row>
    <row r="28">
      <c r="A28" s="11" t="n"/>
      <c r="B28" s="10" t="n"/>
      <c r="C28" s="10" t="n"/>
      <c r="D28" s="14" t="n"/>
      <c r="E28" s="10" t="n"/>
      <c r="F28" s="20">
        <f>IF(OR(A28="",B28=""),"",IF(OR(NOT(ISNUMBER(A28)),ISERROR(N28+O28+P28)),"Проверьте даты",IF(AND(N28&gt;0,P28&gt;1),"Дубль",IF(AND(N28&gt;0,O28&gt;0),O28,"Вне аренды"))))</f>
        <v/>
      </c>
      <c r="G28" s="12">
        <f>IF(ISNUMBER(F28),IFERROR(INDEX(Брони!$C$2:$C$500,MATCH(F28,Брони!$A$2:$A$500,0)),""),"")</f>
        <v/>
      </c>
      <c r="H28" s="10" t="n"/>
      <c r="I28" s="18" t="n"/>
      <c r="J28" s="12">
        <f>IF(AND(ISNUMBER(F28),I28&lt;&gt;""),IFERROR(IF(AND(INDEX(Брони!$F$2:$F$500,MATCH(F28,Брони!$A$2:$A$500,0))="Возвращена",I28&gt;INDEX(Брони!$E$2:$E$500,MATCH(F28,Брони!$A$2:$A$500,0))),"Да",""),""),"")</f>
        <v/>
      </c>
      <c r="K28" s="10" t="n"/>
      <c r="L28" s="14" t="n"/>
      <c r="M28" s="15">
        <f>IF(OR(A28="",B28=""),"",IF(AND(ISNUMBER(F28),H28&lt;&gt;"Компания"),D28+L28,0))</f>
        <v/>
      </c>
      <c r="N28" s="21">
        <f>SUMPRODUCT(MAX((Брони!$B$2:$B$500=B28)*((Брони!$F$2:$F$500="Выдана")+(Брони!$F$2:$F$500="Возвращена"))*(Брони!$D$2:$D$500&lt;=A28)*Брони!$D$2:$D$500))</f>
        <v/>
      </c>
      <c r="O28" s="19">
        <f>SUMPRODUCT((Брони!$B$2:$B$500=B28)*(Брони!$D$2:$D$500=N28)*((((Брони!$F$2:$F$500="Выдана")*NOW())+((Брони!$F$2:$F$500="Возвращена")*Брони!$E$2:$E$500))&gt;=A28)*Брони!$A$2:$A$500)</f>
        <v/>
      </c>
      <c r="P28" s="19">
        <f>SUMPRODUCT((Брони!$B$2:$B$500=B28)*(Брони!$D$2:$D$500=N28)*(((Брони!$F$2:$F$500="Выдана")+(Брони!$F$2:$F$500="Возвращена"))))</f>
        <v/>
      </c>
      <c r="Q28" s="10" t="n"/>
    </row>
    <row r="29">
      <c r="A29" s="11" t="n"/>
      <c r="B29" s="10" t="n"/>
      <c r="C29" s="10" t="n"/>
      <c r="D29" s="14" t="n"/>
      <c r="E29" s="10" t="n"/>
      <c r="F29" s="20">
        <f>IF(OR(A29="",B29=""),"",IF(OR(NOT(ISNUMBER(A29)),ISERROR(N29+O29+P29)),"Проверьте даты",IF(AND(N29&gt;0,P29&gt;1),"Дубль",IF(AND(N29&gt;0,O29&gt;0),O29,"Вне аренды"))))</f>
        <v/>
      </c>
      <c r="G29" s="12">
        <f>IF(ISNUMBER(F29),IFERROR(INDEX(Брони!$C$2:$C$500,MATCH(F29,Брони!$A$2:$A$500,0)),""),"")</f>
        <v/>
      </c>
      <c r="H29" s="10" t="n"/>
      <c r="I29" s="18" t="n"/>
      <c r="J29" s="12">
        <f>IF(AND(ISNUMBER(F29),I29&lt;&gt;""),IFERROR(IF(AND(INDEX(Брони!$F$2:$F$500,MATCH(F29,Брони!$A$2:$A$500,0))="Возвращена",I29&gt;INDEX(Брони!$E$2:$E$500,MATCH(F29,Брони!$A$2:$A$500,0))),"Да",""),""),"")</f>
        <v/>
      </c>
      <c r="K29" s="10" t="n"/>
      <c r="L29" s="14" t="n"/>
      <c r="M29" s="15">
        <f>IF(OR(A29="",B29=""),"",IF(AND(ISNUMBER(F29),H29&lt;&gt;"Компания"),D29+L29,0))</f>
        <v/>
      </c>
      <c r="N29" s="21">
        <f>SUMPRODUCT(MAX((Брони!$B$2:$B$500=B29)*((Брони!$F$2:$F$500="Выдана")+(Брони!$F$2:$F$500="Возвращена"))*(Брони!$D$2:$D$500&lt;=A29)*Брони!$D$2:$D$500))</f>
        <v/>
      </c>
      <c r="O29" s="19">
        <f>SUMPRODUCT((Брони!$B$2:$B$500=B29)*(Брони!$D$2:$D$500=N29)*((((Брони!$F$2:$F$500="Выдана")*NOW())+((Брони!$F$2:$F$500="Возвращена")*Брони!$E$2:$E$500))&gt;=A29)*Брони!$A$2:$A$500)</f>
        <v/>
      </c>
      <c r="P29" s="19">
        <f>SUMPRODUCT((Брони!$B$2:$B$500=B29)*(Брони!$D$2:$D$500=N29)*(((Брони!$F$2:$F$500="Выдана")+(Брони!$F$2:$F$500="Возвращена"))))</f>
        <v/>
      </c>
      <c r="Q29" s="10" t="n"/>
    </row>
    <row r="30">
      <c r="A30" s="11" t="n"/>
      <c r="B30" s="10" t="n"/>
      <c r="C30" s="10" t="n"/>
      <c r="D30" s="14" t="n"/>
      <c r="E30" s="10" t="n"/>
      <c r="F30" s="20">
        <f>IF(OR(A30="",B30=""),"",IF(OR(NOT(ISNUMBER(A30)),ISERROR(N30+O30+P30)),"Проверьте даты",IF(AND(N30&gt;0,P30&gt;1),"Дубль",IF(AND(N30&gt;0,O30&gt;0),O30,"Вне аренды"))))</f>
        <v/>
      </c>
      <c r="G30" s="12">
        <f>IF(ISNUMBER(F30),IFERROR(INDEX(Брони!$C$2:$C$500,MATCH(F30,Брони!$A$2:$A$500,0)),""),"")</f>
        <v/>
      </c>
      <c r="H30" s="10" t="n"/>
      <c r="I30" s="18" t="n"/>
      <c r="J30" s="12">
        <f>IF(AND(ISNUMBER(F30),I30&lt;&gt;""),IFERROR(IF(AND(INDEX(Брони!$F$2:$F$500,MATCH(F30,Брони!$A$2:$A$500,0))="Возвращена",I30&gt;INDEX(Брони!$E$2:$E$500,MATCH(F30,Брони!$A$2:$A$500,0))),"Да",""),""),"")</f>
        <v/>
      </c>
      <c r="K30" s="10" t="n"/>
      <c r="L30" s="14" t="n"/>
      <c r="M30" s="15">
        <f>IF(OR(A30="",B30=""),"",IF(AND(ISNUMBER(F30),H30&lt;&gt;"Компания"),D30+L30,0))</f>
        <v/>
      </c>
      <c r="N30" s="21">
        <f>SUMPRODUCT(MAX((Брони!$B$2:$B$500=B30)*((Брони!$F$2:$F$500="Выдана")+(Брони!$F$2:$F$500="Возвращена"))*(Брони!$D$2:$D$500&lt;=A30)*Брони!$D$2:$D$500))</f>
        <v/>
      </c>
      <c r="O30" s="19">
        <f>SUMPRODUCT((Брони!$B$2:$B$500=B30)*(Брони!$D$2:$D$500=N30)*((((Брони!$F$2:$F$500="Выдана")*NOW())+((Брони!$F$2:$F$500="Возвращена")*Брони!$E$2:$E$500))&gt;=A30)*Брони!$A$2:$A$500)</f>
        <v/>
      </c>
      <c r="P30" s="19">
        <f>SUMPRODUCT((Брони!$B$2:$B$500=B30)*(Брони!$D$2:$D$500=N30)*(((Брони!$F$2:$F$500="Выдана")+(Брони!$F$2:$F$500="Возвращена"))))</f>
        <v/>
      </c>
      <c r="Q30" s="10" t="n"/>
    </row>
    <row r="31">
      <c r="A31" s="11" t="n"/>
      <c r="B31" s="10" t="n"/>
      <c r="C31" s="10" t="n"/>
      <c r="D31" s="14" t="n"/>
      <c r="E31" s="10" t="n"/>
      <c r="F31" s="20">
        <f>IF(OR(A31="",B31=""),"",IF(OR(NOT(ISNUMBER(A31)),ISERROR(N31+O31+P31)),"Проверьте даты",IF(AND(N31&gt;0,P31&gt;1),"Дубль",IF(AND(N31&gt;0,O31&gt;0),O31,"Вне аренды"))))</f>
        <v/>
      </c>
      <c r="G31" s="12">
        <f>IF(ISNUMBER(F31),IFERROR(INDEX(Брони!$C$2:$C$500,MATCH(F31,Брони!$A$2:$A$500,0)),""),"")</f>
        <v/>
      </c>
      <c r="H31" s="10" t="n"/>
      <c r="I31" s="18" t="n"/>
      <c r="J31" s="12">
        <f>IF(AND(ISNUMBER(F31),I31&lt;&gt;""),IFERROR(IF(AND(INDEX(Брони!$F$2:$F$500,MATCH(F31,Брони!$A$2:$A$500,0))="Возвращена",I31&gt;INDEX(Брони!$E$2:$E$500,MATCH(F31,Брони!$A$2:$A$500,0))),"Да",""),""),"")</f>
        <v/>
      </c>
      <c r="K31" s="10" t="n"/>
      <c r="L31" s="14" t="n"/>
      <c r="M31" s="15">
        <f>IF(OR(A31="",B31=""),"",IF(AND(ISNUMBER(F31),H31&lt;&gt;"Компания"),D31+L31,0))</f>
        <v/>
      </c>
      <c r="N31" s="21">
        <f>SUMPRODUCT(MAX((Брони!$B$2:$B$500=B31)*((Брони!$F$2:$F$500="Выдана")+(Брони!$F$2:$F$500="Возвращена"))*(Брони!$D$2:$D$500&lt;=A31)*Брони!$D$2:$D$500))</f>
        <v/>
      </c>
      <c r="O31" s="19">
        <f>SUMPRODUCT((Брони!$B$2:$B$500=B31)*(Брони!$D$2:$D$500=N31)*((((Брони!$F$2:$F$500="Выдана")*NOW())+((Брони!$F$2:$F$500="Возвращена")*Брони!$E$2:$E$500))&gt;=A31)*Брони!$A$2:$A$500)</f>
        <v/>
      </c>
      <c r="P31" s="19">
        <f>SUMPRODUCT((Брони!$B$2:$B$500=B31)*(Брони!$D$2:$D$500=N31)*(((Брони!$F$2:$F$500="Выдана")+(Брони!$F$2:$F$500="Возвращена"))))</f>
        <v/>
      </c>
      <c r="Q31" s="10" t="n"/>
    </row>
    <row r="32">
      <c r="A32" s="11" t="n"/>
      <c r="B32" s="10" t="n"/>
      <c r="C32" s="10" t="n"/>
      <c r="D32" s="14" t="n"/>
      <c r="E32" s="10" t="n"/>
      <c r="F32" s="20">
        <f>IF(OR(A32="",B32=""),"",IF(OR(NOT(ISNUMBER(A32)),ISERROR(N32+O32+P32)),"Проверьте даты",IF(AND(N32&gt;0,P32&gt;1),"Дубль",IF(AND(N32&gt;0,O32&gt;0),O32,"Вне аренды"))))</f>
        <v/>
      </c>
      <c r="G32" s="12">
        <f>IF(ISNUMBER(F32),IFERROR(INDEX(Брони!$C$2:$C$500,MATCH(F32,Брони!$A$2:$A$500,0)),""),"")</f>
        <v/>
      </c>
      <c r="H32" s="10" t="n"/>
      <c r="I32" s="18" t="n"/>
      <c r="J32" s="12">
        <f>IF(AND(ISNUMBER(F32),I32&lt;&gt;""),IFERROR(IF(AND(INDEX(Брони!$F$2:$F$500,MATCH(F32,Брони!$A$2:$A$500,0))="Возвращена",I32&gt;INDEX(Брони!$E$2:$E$500,MATCH(F32,Брони!$A$2:$A$500,0))),"Да",""),""),"")</f>
        <v/>
      </c>
      <c r="K32" s="10" t="n"/>
      <c r="L32" s="14" t="n"/>
      <c r="M32" s="15">
        <f>IF(OR(A32="",B32=""),"",IF(AND(ISNUMBER(F32),H32&lt;&gt;"Компания"),D32+L32,0))</f>
        <v/>
      </c>
      <c r="N32" s="21">
        <f>SUMPRODUCT(MAX((Брони!$B$2:$B$500=B32)*((Брони!$F$2:$F$500="Выдана")+(Брони!$F$2:$F$500="Возвращена"))*(Брони!$D$2:$D$500&lt;=A32)*Брони!$D$2:$D$500))</f>
        <v/>
      </c>
      <c r="O32" s="19">
        <f>SUMPRODUCT((Брони!$B$2:$B$500=B32)*(Брони!$D$2:$D$500=N32)*((((Брони!$F$2:$F$500="Выдана")*NOW())+((Брони!$F$2:$F$500="Возвращена")*Брони!$E$2:$E$500))&gt;=A32)*Брони!$A$2:$A$500)</f>
        <v/>
      </c>
      <c r="P32" s="19">
        <f>SUMPRODUCT((Брони!$B$2:$B$500=B32)*(Брони!$D$2:$D$500=N32)*(((Брони!$F$2:$F$500="Выдана")+(Брони!$F$2:$F$500="Возвращена"))))</f>
        <v/>
      </c>
      <c r="Q32" s="10" t="n"/>
    </row>
    <row r="33">
      <c r="A33" s="11" t="n"/>
      <c r="B33" s="10" t="n"/>
      <c r="C33" s="10" t="n"/>
      <c r="D33" s="14" t="n"/>
      <c r="E33" s="10" t="n"/>
      <c r="F33" s="20">
        <f>IF(OR(A33="",B33=""),"",IF(OR(NOT(ISNUMBER(A33)),ISERROR(N33+O33+P33)),"Проверьте даты",IF(AND(N33&gt;0,P33&gt;1),"Дубль",IF(AND(N33&gt;0,O33&gt;0),O33,"Вне аренды"))))</f>
        <v/>
      </c>
      <c r="G33" s="12">
        <f>IF(ISNUMBER(F33),IFERROR(INDEX(Брони!$C$2:$C$500,MATCH(F33,Брони!$A$2:$A$500,0)),""),"")</f>
        <v/>
      </c>
      <c r="H33" s="10" t="n"/>
      <c r="I33" s="18" t="n"/>
      <c r="J33" s="12">
        <f>IF(AND(ISNUMBER(F33),I33&lt;&gt;""),IFERROR(IF(AND(INDEX(Брони!$F$2:$F$500,MATCH(F33,Брони!$A$2:$A$500,0))="Возвращена",I33&gt;INDEX(Брони!$E$2:$E$500,MATCH(F33,Брони!$A$2:$A$500,0))),"Да",""),""),"")</f>
        <v/>
      </c>
      <c r="K33" s="10" t="n"/>
      <c r="L33" s="14" t="n"/>
      <c r="M33" s="15">
        <f>IF(OR(A33="",B33=""),"",IF(AND(ISNUMBER(F33),H33&lt;&gt;"Компания"),D33+L33,0))</f>
        <v/>
      </c>
      <c r="N33" s="21">
        <f>SUMPRODUCT(MAX((Брони!$B$2:$B$500=B33)*((Брони!$F$2:$F$500="Выдана")+(Брони!$F$2:$F$500="Возвращена"))*(Брони!$D$2:$D$500&lt;=A33)*Брони!$D$2:$D$500))</f>
        <v/>
      </c>
      <c r="O33" s="19">
        <f>SUMPRODUCT((Брони!$B$2:$B$500=B33)*(Брони!$D$2:$D$500=N33)*((((Брони!$F$2:$F$500="Выдана")*NOW())+((Брони!$F$2:$F$500="Возвращена")*Брони!$E$2:$E$500))&gt;=A33)*Брони!$A$2:$A$500)</f>
        <v/>
      </c>
      <c r="P33" s="19">
        <f>SUMPRODUCT((Брони!$B$2:$B$500=B33)*(Брони!$D$2:$D$500=N33)*(((Брони!$F$2:$F$500="Выдана")+(Брони!$F$2:$F$500="Возвращена"))))</f>
        <v/>
      </c>
      <c r="Q33" s="10" t="n"/>
    </row>
    <row r="34">
      <c r="A34" s="11" t="n"/>
      <c r="B34" s="10" t="n"/>
      <c r="C34" s="10" t="n"/>
      <c r="D34" s="14" t="n"/>
      <c r="E34" s="10" t="n"/>
      <c r="F34" s="20">
        <f>IF(OR(A34="",B34=""),"",IF(OR(NOT(ISNUMBER(A34)),ISERROR(N34+O34+P34)),"Проверьте даты",IF(AND(N34&gt;0,P34&gt;1),"Дубль",IF(AND(N34&gt;0,O34&gt;0),O34,"Вне аренды"))))</f>
        <v/>
      </c>
      <c r="G34" s="12">
        <f>IF(ISNUMBER(F34),IFERROR(INDEX(Брони!$C$2:$C$500,MATCH(F34,Брони!$A$2:$A$500,0)),""),"")</f>
        <v/>
      </c>
      <c r="H34" s="10" t="n"/>
      <c r="I34" s="18" t="n"/>
      <c r="J34" s="12">
        <f>IF(AND(ISNUMBER(F34),I34&lt;&gt;""),IFERROR(IF(AND(INDEX(Брони!$F$2:$F$500,MATCH(F34,Брони!$A$2:$A$500,0))="Возвращена",I34&gt;INDEX(Брони!$E$2:$E$500,MATCH(F34,Брони!$A$2:$A$500,0))),"Да",""),""),"")</f>
        <v/>
      </c>
      <c r="K34" s="10" t="n"/>
      <c r="L34" s="14" t="n"/>
      <c r="M34" s="15">
        <f>IF(OR(A34="",B34=""),"",IF(AND(ISNUMBER(F34),H34&lt;&gt;"Компания"),D34+L34,0))</f>
        <v/>
      </c>
      <c r="N34" s="21">
        <f>SUMPRODUCT(MAX((Брони!$B$2:$B$500=B34)*((Брони!$F$2:$F$500="Выдана")+(Брони!$F$2:$F$500="Возвращена"))*(Брони!$D$2:$D$500&lt;=A34)*Брони!$D$2:$D$500))</f>
        <v/>
      </c>
      <c r="O34" s="19">
        <f>SUMPRODUCT((Брони!$B$2:$B$500=B34)*(Брони!$D$2:$D$500=N34)*((((Брони!$F$2:$F$500="Выдана")*NOW())+((Брони!$F$2:$F$500="Возвращена")*Брони!$E$2:$E$500))&gt;=A34)*Брони!$A$2:$A$500)</f>
        <v/>
      </c>
      <c r="P34" s="19">
        <f>SUMPRODUCT((Брони!$B$2:$B$500=B34)*(Брони!$D$2:$D$500=N34)*(((Брони!$F$2:$F$500="Выдана")+(Брони!$F$2:$F$500="Возвращена"))))</f>
        <v/>
      </c>
      <c r="Q34" s="10" t="n"/>
    </row>
    <row r="35">
      <c r="A35" s="11" t="n"/>
      <c r="B35" s="10" t="n"/>
      <c r="C35" s="10" t="n"/>
      <c r="D35" s="14" t="n"/>
      <c r="E35" s="10" t="n"/>
      <c r="F35" s="20">
        <f>IF(OR(A35="",B35=""),"",IF(OR(NOT(ISNUMBER(A35)),ISERROR(N35+O35+P35)),"Проверьте даты",IF(AND(N35&gt;0,P35&gt;1),"Дубль",IF(AND(N35&gt;0,O35&gt;0),O35,"Вне аренды"))))</f>
        <v/>
      </c>
      <c r="G35" s="12">
        <f>IF(ISNUMBER(F35),IFERROR(INDEX(Брони!$C$2:$C$500,MATCH(F35,Брони!$A$2:$A$500,0)),""),"")</f>
        <v/>
      </c>
      <c r="H35" s="10" t="n"/>
      <c r="I35" s="18" t="n"/>
      <c r="J35" s="12">
        <f>IF(AND(ISNUMBER(F35),I35&lt;&gt;""),IFERROR(IF(AND(INDEX(Брони!$F$2:$F$500,MATCH(F35,Брони!$A$2:$A$500,0))="Возвращена",I35&gt;INDEX(Брони!$E$2:$E$500,MATCH(F35,Брони!$A$2:$A$500,0))),"Да",""),""),"")</f>
        <v/>
      </c>
      <c r="K35" s="10" t="n"/>
      <c r="L35" s="14" t="n"/>
      <c r="M35" s="15">
        <f>IF(OR(A35="",B35=""),"",IF(AND(ISNUMBER(F35),H35&lt;&gt;"Компания"),D35+L35,0))</f>
        <v/>
      </c>
      <c r="N35" s="21">
        <f>SUMPRODUCT(MAX((Брони!$B$2:$B$500=B35)*((Брони!$F$2:$F$500="Выдана")+(Брони!$F$2:$F$500="Возвращена"))*(Брони!$D$2:$D$500&lt;=A35)*Брони!$D$2:$D$500))</f>
        <v/>
      </c>
      <c r="O35" s="19">
        <f>SUMPRODUCT((Брони!$B$2:$B$500=B35)*(Брони!$D$2:$D$500=N35)*((((Брони!$F$2:$F$500="Выдана")*NOW())+((Брони!$F$2:$F$500="Возвращена")*Брони!$E$2:$E$500))&gt;=A35)*Брони!$A$2:$A$500)</f>
        <v/>
      </c>
      <c r="P35" s="19">
        <f>SUMPRODUCT((Брони!$B$2:$B$500=B35)*(Брони!$D$2:$D$500=N35)*(((Брони!$F$2:$F$500="Выдана")+(Брони!$F$2:$F$500="Возвращена"))))</f>
        <v/>
      </c>
      <c r="Q35" s="10" t="n"/>
    </row>
    <row r="36">
      <c r="A36" s="11" t="n"/>
      <c r="B36" s="10" t="n"/>
      <c r="C36" s="10" t="n"/>
      <c r="D36" s="14" t="n"/>
      <c r="E36" s="10" t="n"/>
      <c r="F36" s="20">
        <f>IF(OR(A36="",B36=""),"",IF(OR(NOT(ISNUMBER(A36)),ISERROR(N36+O36+P36)),"Проверьте даты",IF(AND(N36&gt;0,P36&gt;1),"Дубль",IF(AND(N36&gt;0,O36&gt;0),O36,"Вне аренды"))))</f>
        <v/>
      </c>
      <c r="G36" s="12">
        <f>IF(ISNUMBER(F36),IFERROR(INDEX(Брони!$C$2:$C$500,MATCH(F36,Брони!$A$2:$A$500,0)),""),"")</f>
        <v/>
      </c>
      <c r="H36" s="10" t="n"/>
      <c r="I36" s="18" t="n"/>
      <c r="J36" s="12">
        <f>IF(AND(ISNUMBER(F36),I36&lt;&gt;""),IFERROR(IF(AND(INDEX(Брони!$F$2:$F$500,MATCH(F36,Брони!$A$2:$A$500,0))="Возвращена",I36&gt;INDEX(Брони!$E$2:$E$500,MATCH(F36,Брони!$A$2:$A$500,0))),"Да",""),""),"")</f>
        <v/>
      </c>
      <c r="K36" s="10" t="n"/>
      <c r="L36" s="14" t="n"/>
      <c r="M36" s="15">
        <f>IF(OR(A36="",B36=""),"",IF(AND(ISNUMBER(F36),H36&lt;&gt;"Компания"),D36+L36,0))</f>
        <v/>
      </c>
      <c r="N36" s="21">
        <f>SUMPRODUCT(MAX((Брони!$B$2:$B$500=B36)*((Брони!$F$2:$F$500="Выдана")+(Брони!$F$2:$F$500="Возвращена"))*(Брони!$D$2:$D$500&lt;=A36)*Брони!$D$2:$D$500))</f>
        <v/>
      </c>
      <c r="O36" s="19">
        <f>SUMPRODUCT((Брони!$B$2:$B$500=B36)*(Брони!$D$2:$D$500=N36)*((((Брони!$F$2:$F$500="Выдана")*NOW())+((Брони!$F$2:$F$500="Возвращена")*Брони!$E$2:$E$500))&gt;=A36)*Брони!$A$2:$A$500)</f>
        <v/>
      </c>
      <c r="P36" s="19">
        <f>SUMPRODUCT((Брони!$B$2:$B$500=B36)*(Брони!$D$2:$D$500=N36)*(((Брони!$F$2:$F$500="Выдана")+(Брони!$F$2:$F$500="Возвращена"))))</f>
        <v/>
      </c>
      <c r="Q36" s="10" t="n"/>
    </row>
    <row r="37">
      <c r="A37" s="11" t="n"/>
      <c r="B37" s="10" t="n"/>
      <c r="C37" s="10" t="n"/>
      <c r="D37" s="14" t="n"/>
      <c r="E37" s="10" t="n"/>
      <c r="F37" s="20">
        <f>IF(OR(A37="",B37=""),"",IF(OR(NOT(ISNUMBER(A37)),ISERROR(N37+O37+P37)),"Проверьте даты",IF(AND(N37&gt;0,P37&gt;1),"Дубль",IF(AND(N37&gt;0,O37&gt;0),O37,"Вне аренды"))))</f>
        <v/>
      </c>
      <c r="G37" s="12">
        <f>IF(ISNUMBER(F37),IFERROR(INDEX(Брони!$C$2:$C$500,MATCH(F37,Брони!$A$2:$A$500,0)),""),"")</f>
        <v/>
      </c>
      <c r="H37" s="10" t="n"/>
      <c r="I37" s="18" t="n"/>
      <c r="J37" s="12">
        <f>IF(AND(ISNUMBER(F37),I37&lt;&gt;""),IFERROR(IF(AND(INDEX(Брони!$F$2:$F$500,MATCH(F37,Брони!$A$2:$A$500,0))="Возвращена",I37&gt;INDEX(Брони!$E$2:$E$500,MATCH(F37,Брони!$A$2:$A$500,0))),"Да",""),""),"")</f>
        <v/>
      </c>
      <c r="K37" s="10" t="n"/>
      <c r="L37" s="14" t="n"/>
      <c r="M37" s="15">
        <f>IF(OR(A37="",B37=""),"",IF(AND(ISNUMBER(F37),H37&lt;&gt;"Компания"),D37+L37,0))</f>
        <v/>
      </c>
      <c r="N37" s="21">
        <f>SUMPRODUCT(MAX((Брони!$B$2:$B$500=B37)*((Брони!$F$2:$F$500="Выдана")+(Брони!$F$2:$F$500="Возвращена"))*(Брони!$D$2:$D$500&lt;=A37)*Брони!$D$2:$D$500))</f>
        <v/>
      </c>
      <c r="O37" s="19">
        <f>SUMPRODUCT((Брони!$B$2:$B$500=B37)*(Брони!$D$2:$D$500=N37)*((((Брони!$F$2:$F$500="Выдана")*NOW())+((Брони!$F$2:$F$500="Возвращена")*Брони!$E$2:$E$500))&gt;=A37)*Брони!$A$2:$A$500)</f>
        <v/>
      </c>
      <c r="P37" s="19">
        <f>SUMPRODUCT((Брони!$B$2:$B$500=B37)*(Брони!$D$2:$D$500=N37)*(((Брони!$F$2:$F$500="Выдана")+(Брони!$F$2:$F$500="Возвращена"))))</f>
        <v/>
      </c>
      <c r="Q37" s="10" t="n"/>
    </row>
    <row r="38">
      <c r="A38" s="11" t="n"/>
      <c r="B38" s="10" t="n"/>
      <c r="C38" s="10" t="n"/>
      <c r="D38" s="14" t="n"/>
      <c r="E38" s="10" t="n"/>
      <c r="F38" s="20">
        <f>IF(OR(A38="",B38=""),"",IF(OR(NOT(ISNUMBER(A38)),ISERROR(N38+O38+P38)),"Проверьте даты",IF(AND(N38&gt;0,P38&gt;1),"Дубль",IF(AND(N38&gt;0,O38&gt;0),O38,"Вне аренды"))))</f>
        <v/>
      </c>
      <c r="G38" s="12">
        <f>IF(ISNUMBER(F38),IFERROR(INDEX(Брони!$C$2:$C$500,MATCH(F38,Брони!$A$2:$A$500,0)),""),"")</f>
        <v/>
      </c>
      <c r="H38" s="10" t="n"/>
      <c r="I38" s="18" t="n"/>
      <c r="J38" s="12">
        <f>IF(AND(ISNUMBER(F38),I38&lt;&gt;""),IFERROR(IF(AND(INDEX(Брони!$F$2:$F$500,MATCH(F38,Брони!$A$2:$A$500,0))="Возвращена",I38&gt;INDEX(Брони!$E$2:$E$500,MATCH(F38,Брони!$A$2:$A$500,0))),"Да",""),""),"")</f>
        <v/>
      </c>
      <c r="K38" s="10" t="n"/>
      <c r="L38" s="14" t="n"/>
      <c r="M38" s="15">
        <f>IF(OR(A38="",B38=""),"",IF(AND(ISNUMBER(F38),H38&lt;&gt;"Компания"),D38+L38,0))</f>
        <v/>
      </c>
      <c r="N38" s="21">
        <f>SUMPRODUCT(MAX((Брони!$B$2:$B$500=B38)*((Брони!$F$2:$F$500="Выдана")+(Брони!$F$2:$F$500="Возвращена"))*(Брони!$D$2:$D$500&lt;=A38)*Брони!$D$2:$D$500))</f>
        <v/>
      </c>
      <c r="O38" s="19">
        <f>SUMPRODUCT((Брони!$B$2:$B$500=B38)*(Брони!$D$2:$D$500=N38)*((((Брони!$F$2:$F$500="Выдана")*NOW())+((Брони!$F$2:$F$500="Возвращена")*Брони!$E$2:$E$500))&gt;=A38)*Брони!$A$2:$A$500)</f>
        <v/>
      </c>
      <c r="P38" s="19">
        <f>SUMPRODUCT((Брони!$B$2:$B$500=B38)*(Брони!$D$2:$D$500=N38)*(((Брони!$F$2:$F$500="Выдана")+(Брони!$F$2:$F$500="Возвращена"))))</f>
        <v/>
      </c>
      <c r="Q38" s="10" t="n"/>
    </row>
    <row r="39">
      <c r="A39" s="11" t="n"/>
      <c r="B39" s="10" t="n"/>
      <c r="C39" s="10" t="n"/>
      <c r="D39" s="14" t="n"/>
      <c r="E39" s="10" t="n"/>
      <c r="F39" s="20">
        <f>IF(OR(A39="",B39=""),"",IF(OR(NOT(ISNUMBER(A39)),ISERROR(N39+O39+P39)),"Проверьте даты",IF(AND(N39&gt;0,P39&gt;1),"Дубль",IF(AND(N39&gt;0,O39&gt;0),O39,"Вне аренды"))))</f>
        <v/>
      </c>
      <c r="G39" s="12">
        <f>IF(ISNUMBER(F39),IFERROR(INDEX(Брони!$C$2:$C$500,MATCH(F39,Брони!$A$2:$A$500,0)),""),"")</f>
        <v/>
      </c>
      <c r="H39" s="10" t="n"/>
      <c r="I39" s="18" t="n"/>
      <c r="J39" s="12">
        <f>IF(AND(ISNUMBER(F39),I39&lt;&gt;""),IFERROR(IF(AND(INDEX(Брони!$F$2:$F$500,MATCH(F39,Брони!$A$2:$A$500,0))="Возвращена",I39&gt;INDEX(Брони!$E$2:$E$500,MATCH(F39,Брони!$A$2:$A$500,0))),"Да",""),""),"")</f>
        <v/>
      </c>
      <c r="K39" s="10" t="n"/>
      <c r="L39" s="14" t="n"/>
      <c r="M39" s="15">
        <f>IF(OR(A39="",B39=""),"",IF(AND(ISNUMBER(F39),H39&lt;&gt;"Компания"),D39+L39,0))</f>
        <v/>
      </c>
      <c r="N39" s="21">
        <f>SUMPRODUCT(MAX((Брони!$B$2:$B$500=B39)*((Брони!$F$2:$F$500="Выдана")+(Брони!$F$2:$F$500="Возвращена"))*(Брони!$D$2:$D$500&lt;=A39)*Брони!$D$2:$D$500))</f>
        <v/>
      </c>
      <c r="O39" s="19">
        <f>SUMPRODUCT((Брони!$B$2:$B$500=B39)*(Брони!$D$2:$D$500=N39)*((((Брони!$F$2:$F$500="Выдана")*NOW())+((Брони!$F$2:$F$500="Возвращена")*Брони!$E$2:$E$500))&gt;=A39)*Брони!$A$2:$A$500)</f>
        <v/>
      </c>
      <c r="P39" s="19">
        <f>SUMPRODUCT((Брони!$B$2:$B$500=B39)*(Брони!$D$2:$D$500=N39)*(((Брони!$F$2:$F$500="Выдана")+(Брони!$F$2:$F$500="Возвращена"))))</f>
        <v/>
      </c>
      <c r="Q39" s="10" t="n"/>
    </row>
    <row r="40">
      <c r="A40" s="11" t="n"/>
      <c r="B40" s="10" t="n"/>
      <c r="C40" s="10" t="n"/>
      <c r="D40" s="14" t="n"/>
      <c r="E40" s="10" t="n"/>
      <c r="F40" s="20">
        <f>IF(OR(A40="",B40=""),"",IF(OR(NOT(ISNUMBER(A40)),ISERROR(N40+O40+P40)),"Проверьте даты",IF(AND(N40&gt;0,P40&gt;1),"Дубль",IF(AND(N40&gt;0,O40&gt;0),O40,"Вне аренды"))))</f>
        <v/>
      </c>
      <c r="G40" s="12">
        <f>IF(ISNUMBER(F40),IFERROR(INDEX(Брони!$C$2:$C$500,MATCH(F40,Брони!$A$2:$A$500,0)),""),"")</f>
        <v/>
      </c>
      <c r="H40" s="10" t="n"/>
      <c r="I40" s="18" t="n"/>
      <c r="J40" s="12">
        <f>IF(AND(ISNUMBER(F40),I40&lt;&gt;""),IFERROR(IF(AND(INDEX(Брони!$F$2:$F$500,MATCH(F40,Брони!$A$2:$A$500,0))="Возвращена",I40&gt;INDEX(Брони!$E$2:$E$500,MATCH(F40,Брони!$A$2:$A$500,0))),"Да",""),""),"")</f>
        <v/>
      </c>
      <c r="K40" s="10" t="n"/>
      <c r="L40" s="14" t="n"/>
      <c r="M40" s="15">
        <f>IF(OR(A40="",B40=""),"",IF(AND(ISNUMBER(F40),H40&lt;&gt;"Компания"),D40+L40,0))</f>
        <v/>
      </c>
      <c r="N40" s="21">
        <f>SUMPRODUCT(MAX((Брони!$B$2:$B$500=B40)*((Брони!$F$2:$F$500="Выдана")+(Брони!$F$2:$F$500="Возвращена"))*(Брони!$D$2:$D$500&lt;=A40)*Брони!$D$2:$D$500))</f>
        <v/>
      </c>
      <c r="O40" s="19">
        <f>SUMPRODUCT((Брони!$B$2:$B$500=B40)*(Брони!$D$2:$D$500=N40)*((((Брони!$F$2:$F$500="Выдана")*NOW())+((Брони!$F$2:$F$500="Возвращена")*Брони!$E$2:$E$500))&gt;=A40)*Брони!$A$2:$A$500)</f>
        <v/>
      </c>
      <c r="P40" s="19">
        <f>SUMPRODUCT((Брони!$B$2:$B$500=B40)*(Брони!$D$2:$D$500=N40)*(((Брони!$F$2:$F$500="Выдана")+(Брони!$F$2:$F$500="Возвращена"))))</f>
        <v/>
      </c>
      <c r="Q40" s="10" t="n"/>
    </row>
    <row r="41">
      <c r="A41" s="11" t="n"/>
      <c r="B41" s="10" t="n"/>
      <c r="C41" s="10" t="n"/>
      <c r="D41" s="14" t="n"/>
      <c r="E41" s="10" t="n"/>
      <c r="F41" s="20">
        <f>IF(OR(A41="",B41=""),"",IF(OR(NOT(ISNUMBER(A41)),ISERROR(N41+O41+P41)),"Проверьте даты",IF(AND(N41&gt;0,P41&gt;1),"Дубль",IF(AND(N41&gt;0,O41&gt;0),O41,"Вне аренды"))))</f>
        <v/>
      </c>
      <c r="G41" s="12">
        <f>IF(ISNUMBER(F41),IFERROR(INDEX(Брони!$C$2:$C$500,MATCH(F41,Брони!$A$2:$A$500,0)),""),"")</f>
        <v/>
      </c>
      <c r="H41" s="10" t="n"/>
      <c r="I41" s="18" t="n"/>
      <c r="J41" s="12">
        <f>IF(AND(ISNUMBER(F41),I41&lt;&gt;""),IFERROR(IF(AND(INDEX(Брони!$F$2:$F$500,MATCH(F41,Брони!$A$2:$A$500,0))="Возвращена",I41&gt;INDEX(Брони!$E$2:$E$500,MATCH(F41,Брони!$A$2:$A$500,0))),"Да",""),""),"")</f>
        <v/>
      </c>
      <c r="K41" s="10" t="n"/>
      <c r="L41" s="14" t="n"/>
      <c r="M41" s="15">
        <f>IF(OR(A41="",B41=""),"",IF(AND(ISNUMBER(F41),H41&lt;&gt;"Компания"),D41+L41,0))</f>
        <v/>
      </c>
      <c r="N41" s="21">
        <f>SUMPRODUCT(MAX((Брони!$B$2:$B$500=B41)*((Брони!$F$2:$F$500="Выдана")+(Брони!$F$2:$F$500="Возвращена"))*(Брони!$D$2:$D$500&lt;=A41)*Брони!$D$2:$D$500))</f>
        <v/>
      </c>
      <c r="O41" s="19">
        <f>SUMPRODUCT((Брони!$B$2:$B$500=B41)*(Брони!$D$2:$D$500=N41)*((((Брони!$F$2:$F$500="Выдана")*NOW())+((Брони!$F$2:$F$500="Возвращена")*Брони!$E$2:$E$500))&gt;=A41)*Брони!$A$2:$A$500)</f>
        <v/>
      </c>
      <c r="P41" s="19">
        <f>SUMPRODUCT((Брони!$B$2:$B$500=B41)*(Брони!$D$2:$D$500=N41)*(((Брони!$F$2:$F$500="Выдана")+(Брони!$F$2:$F$500="Возвращена"))))</f>
        <v/>
      </c>
      <c r="Q41" s="10" t="n"/>
    </row>
    <row r="42">
      <c r="A42" s="11" t="n"/>
      <c r="B42" s="10" t="n"/>
      <c r="C42" s="10" t="n"/>
      <c r="D42" s="14" t="n"/>
      <c r="E42" s="10" t="n"/>
      <c r="F42" s="20">
        <f>IF(OR(A42="",B42=""),"",IF(OR(NOT(ISNUMBER(A42)),ISERROR(N42+O42+P42)),"Проверьте даты",IF(AND(N42&gt;0,P42&gt;1),"Дубль",IF(AND(N42&gt;0,O42&gt;0),O42,"Вне аренды"))))</f>
        <v/>
      </c>
      <c r="G42" s="12">
        <f>IF(ISNUMBER(F42),IFERROR(INDEX(Брони!$C$2:$C$500,MATCH(F42,Брони!$A$2:$A$500,0)),""),"")</f>
        <v/>
      </c>
      <c r="H42" s="10" t="n"/>
      <c r="I42" s="18" t="n"/>
      <c r="J42" s="12">
        <f>IF(AND(ISNUMBER(F42),I42&lt;&gt;""),IFERROR(IF(AND(INDEX(Брони!$F$2:$F$500,MATCH(F42,Брони!$A$2:$A$500,0))="Возвращена",I42&gt;INDEX(Брони!$E$2:$E$500,MATCH(F42,Брони!$A$2:$A$500,0))),"Да",""),""),"")</f>
        <v/>
      </c>
      <c r="K42" s="10" t="n"/>
      <c r="L42" s="14" t="n"/>
      <c r="M42" s="15">
        <f>IF(OR(A42="",B42=""),"",IF(AND(ISNUMBER(F42),H42&lt;&gt;"Компания"),D42+L42,0))</f>
        <v/>
      </c>
      <c r="N42" s="21">
        <f>SUMPRODUCT(MAX((Брони!$B$2:$B$500=B42)*((Брони!$F$2:$F$500="Выдана")+(Брони!$F$2:$F$500="Возвращена"))*(Брони!$D$2:$D$500&lt;=A42)*Брони!$D$2:$D$500))</f>
        <v/>
      </c>
      <c r="O42" s="19">
        <f>SUMPRODUCT((Брони!$B$2:$B$500=B42)*(Брони!$D$2:$D$500=N42)*((((Брони!$F$2:$F$500="Выдана")*NOW())+((Брони!$F$2:$F$500="Возвращена")*Брони!$E$2:$E$500))&gt;=A42)*Брони!$A$2:$A$500)</f>
        <v/>
      </c>
      <c r="P42" s="19">
        <f>SUMPRODUCT((Брони!$B$2:$B$500=B42)*(Брони!$D$2:$D$500=N42)*(((Брони!$F$2:$F$500="Выдана")+(Брони!$F$2:$F$500="Возвращена"))))</f>
        <v/>
      </c>
      <c r="Q42" s="10" t="n"/>
    </row>
    <row r="43">
      <c r="A43" s="11" t="n"/>
      <c r="B43" s="10" t="n"/>
      <c r="C43" s="10" t="n"/>
      <c r="D43" s="14" t="n"/>
      <c r="E43" s="10" t="n"/>
      <c r="F43" s="20">
        <f>IF(OR(A43="",B43=""),"",IF(OR(NOT(ISNUMBER(A43)),ISERROR(N43+O43+P43)),"Проверьте даты",IF(AND(N43&gt;0,P43&gt;1),"Дубль",IF(AND(N43&gt;0,O43&gt;0),O43,"Вне аренды"))))</f>
        <v/>
      </c>
      <c r="G43" s="12">
        <f>IF(ISNUMBER(F43),IFERROR(INDEX(Брони!$C$2:$C$500,MATCH(F43,Брони!$A$2:$A$500,0)),""),"")</f>
        <v/>
      </c>
      <c r="H43" s="10" t="n"/>
      <c r="I43" s="18" t="n"/>
      <c r="J43" s="12">
        <f>IF(AND(ISNUMBER(F43),I43&lt;&gt;""),IFERROR(IF(AND(INDEX(Брони!$F$2:$F$500,MATCH(F43,Брони!$A$2:$A$500,0))="Возвращена",I43&gt;INDEX(Брони!$E$2:$E$500,MATCH(F43,Брони!$A$2:$A$500,0))),"Да",""),""),"")</f>
        <v/>
      </c>
      <c r="K43" s="10" t="n"/>
      <c r="L43" s="14" t="n"/>
      <c r="M43" s="15">
        <f>IF(OR(A43="",B43=""),"",IF(AND(ISNUMBER(F43),H43&lt;&gt;"Компания"),D43+L43,0))</f>
        <v/>
      </c>
      <c r="N43" s="21">
        <f>SUMPRODUCT(MAX((Брони!$B$2:$B$500=B43)*((Брони!$F$2:$F$500="Выдана")+(Брони!$F$2:$F$500="Возвращена"))*(Брони!$D$2:$D$500&lt;=A43)*Брони!$D$2:$D$500))</f>
        <v/>
      </c>
      <c r="O43" s="19">
        <f>SUMPRODUCT((Брони!$B$2:$B$500=B43)*(Брони!$D$2:$D$500=N43)*((((Брони!$F$2:$F$500="Выдана")*NOW())+((Брони!$F$2:$F$500="Возвращена")*Брони!$E$2:$E$500))&gt;=A43)*Брони!$A$2:$A$500)</f>
        <v/>
      </c>
      <c r="P43" s="19">
        <f>SUMPRODUCT((Брони!$B$2:$B$500=B43)*(Брони!$D$2:$D$500=N43)*(((Брони!$F$2:$F$500="Выдана")+(Брони!$F$2:$F$500="Возвращена"))))</f>
        <v/>
      </c>
      <c r="Q43" s="10" t="n"/>
    </row>
    <row r="44">
      <c r="A44" s="11" t="n"/>
      <c r="B44" s="10" t="n"/>
      <c r="C44" s="10" t="n"/>
      <c r="D44" s="14" t="n"/>
      <c r="E44" s="10" t="n"/>
      <c r="F44" s="20">
        <f>IF(OR(A44="",B44=""),"",IF(OR(NOT(ISNUMBER(A44)),ISERROR(N44+O44+P44)),"Проверьте даты",IF(AND(N44&gt;0,P44&gt;1),"Дубль",IF(AND(N44&gt;0,O44&gt;0),O44,"Вне аренды"))))</f>
        <v/>
      </c>
      <c r="G44" s="12">
        <f>IF(ISNUMBER(F44),IFERROR(INDEX(Брони!$C$2:$C$500,MATCH(F44,Брони!$A$2:$A$500,0)),""),"")</f>
        <v/>
      </c>
      <c r="H44" s="10" t="n"/>
      <c r="I44" s="18" t="n"/>
      <c r="J44" s="12">
        <f>IF(AND(ISNUMBER(F44),I44&lt;&gt;""),IFERROR(IF(AND(INDEX(Брони!$F$2:$F$500,MATCH(F44,Брони!$A$2:$A$500,0))="Возвращена",I44&gt;INDEX(Брони!$E$2:$E$500,MATCH(F44,Брони!$A$2:$A$500,0))),"Да",""),""),"")</f>
        <v/>
      </c>
      <c r="K44" s="10" t="n"/>
      <c r="L44" s="14" t="n"/>
      <c r="M44" s="15">
        <f>IF(OR(A44="",B44=""),"",IF(AND(ISNUMBER(F44),H44&lt;&gt;"Компания"),D44+L44,0))</f>
        <v/>
      </c>
      <c r="N44" s="21">
        <f>SUMPRODUCT(MAX((Брони!$B$2:$B$500=B44)*((Брони!$F$2:$F$500="Выдана")+(Брони!$F$2:$F$500="Возвращена"))*(Брони!$D$2:$D$500&lt;=A44)*Брони!$D$2:$D$500))</f>
        <v/>
      </c>
      <c r="O44" s="19">
        <f>SUMPRODUCT((Брони!$B$2:$B$500=B44)*(Брони!$D$2:$D$500=N44)*((((Брони!$F$2:$F$500="Выдана")*NOW())+((Брони!$F$2:$F$500="Возвращена")*Брони!$E$2:$E$500))&gt;=A44)*Брони!$A$2:$A$500)</f>
        <v/>
      </c>
      <c r="P44" s="19">
        <f>SUMPRODUCT((Брони!$B$2:$B$500=B44)*(Брони!$D$2:$D$500=N44)*(((Брони!$F$2:$F$500="Выдана")+(Брони!$F$2:$F$500="Возвращена"))))</f>
        <v/>
      </c>
      <c r="Q44" s="10" t="n"/>
    </row>
    <row r="45">
      <c r="A45" s="11" t="n"/>
      <c r="B45" s="10" t="n"/>
      <c r="C45" s="10" t="n"/>
      <c r="D45" s="14" t="n"/>
      <c r="E45" s="10" t="n"/>
      <c r="F45" s="20">
        <f>IF(OR(A45="",B45=""),"",IF(OR(NOT(ISNUMBER(A45)),ISERROR(N45+O45+P45)),"Проверьте даты",IF(AND(N45&gt;0,P45&gt;1),"Дубль",IF(AND(N45&gt;0,O45&gt;0),O45,"Вне аренды"))))</f>
        <v/>
      </c>
      <c r="G45" s="12">
        <f>IF(ISNUMBER(F45),IFERROR(INDEX(Брони!$C$2:$C$500,MATCH(F45,Брони!$A$2:$A$500,0)),""),"")</f>
        <v/>
      </c>
      <c r="H45" s="10" t="n"/>
      <c r="I45" s="18" t="n"/>
      <c r="J45" s="12">
        <f>IF(AND(ISNUMBER(F45),I45&lt;&gt;""),IFERROR(IF(AND(INDEX(Брони!$F$2:$F$500,MATCH(F45,Брони!$A$2:$A$500,0))="Возвращена",I45&gt;INDEX(Брони!$E$2:$E$500,MATCH(F45,Брони!$A$2:$A$500,0))),"Да",""),""),"")</f>
        <v/>
      </c>
      <c r="K45" s="10" t="n"/>
      <c r="L45" s="14" t="n"/>
      <c r="M45" s="15">
        <f>IF(OR(A45="",B45=""),"",IF(AND(ISNUMBER(F45),H45&lt;&gt;"Компания"),D45+L45,0))</f>
        <v/>
      </c>
      <c r="N45" s="21">
        <f>SUMPRODUCT(MAX((Брони!$B$2:$B$500=B45)*((Брони!$F$2:$F$500="Выдана")+(Брони!$F$2:$F$500="Возвращена"))*(Брони!$D$2:$D$500&lt;=A45)*Брони!$D$2:$D$500))</f>
        <v/>
      </c>
      <c r="O45" s="19">
        <f>SUMPRODUCT((Брони!$B$2:$B$500=B45)*(Брони!$D$2:$D$500=N45)*((((Брони!$F$2:$F$500="Выдана")*NOW())+((Брони!$F$2:$F$500="Возвращена")*Брони!$E$2:$E$500))&gt;=A45)*Брони!$A$2:$A$500)</f>
        <v/>
      </c>
      <c r="P45" s="19">
        <f>SUMPRODUCT((Брони!$B$2:$B$500=B45)*(Брони!$D$2:$D$500=N45)*(((Брони!$F$2:$F$500="Выдана")+(Брони!$F$2:$F$500="Возвращена"))))</f>
        <v/>
      </c>
      <c r="Q45" s="10" t="n"/>
    </row>
    <row r="46">
      <c r="A46" s="11" t="n"/>
      <c r="B46" s="10" t="n"/>
      <c r="C46" s="10" t="n"/>
      <c r="D46" s="14" t="n"/>
      <c r="E46" s="10" t="n"/>
      <c r="F46" s="20">
        <f>IF(OR(A46="",B46=""),"",IF(OR(NOT(ISNUMBER(A46)),ISERROR(N46+O46+P46)),"Проверьте даты",IF(AND(N46&gt;0,P46&gt;1),"Дубль",IF(AND(N46&gt;0,O46&gt;0),O46,"Вне аренды"))))</f>
        <v/>
      </c>
      <c r="G46" s="12">
        <f>IF(ISNUMBER(F46),IFERROR(INDEX(Брони!$C$2:$C$500,MATCH(F46,Брони!$A$2:$A$500,0)),""),"")</f>
        <v/>
      </c>
      <c r="H46" s="10" t="n"/>
      <c r="I46" s="18" t="n"/>
      <c r="J46" s="12">
        <f>IF(AND(ISNUMBER(F46),I46&lt;&gt;""),IFERROR(IF(AND(INDEX(Брони!$F$2:$F$500,MATCH(F46,Брони!$A$2:$A$500,0))="Возвращена",I46&gt;INDEX(Брони!$E$2:$E$500,MATCH(F46,Брони!$A$2:$A$500,0))),"Да",""),""),"")</f>
        <v/>
      </c>
      <c r="K46" s="10" t="n"/>
      <c r="L46" s="14" t="n"/>
      <c r="M46" s="15">
        <f>IF(OR(A46="",B46=""),"",IF(AND(ISNUMBER(F46),H46&lt;&gt;"Компания"),D46+L46,0))</f>
        <v/>
      </c>
      <c r="N46" s="21">
        <f>SUMPRODUCT(MAX((Брони!$B$2:$B$500=B46)*((Брони!$F$2:$F$500="Выдана")+(Брони!$F$2:$F$500="Возвращена"))*(Брони!$D$2:$D$500&lt;=A46)*Брони!$D$2:$D$500))</f>
        <v/>
      </c>
      <c r="O46" s="19">
        <f>SUMPRODUCT((Брони!$B$2:$B$500=B46)*(Брони!$D$2:$D$500=N46)*((((Брони!$F$2:$F$500="Выдана")*NOW())+((Брони!$F$2:$F$500="Возвращена")*Брони!$E$2:$E$500))&gt;=A46)*Брони!$A$2:$A$500)</f>
        <v/>
      </c>
      <c r="P46" s="19">
        <f>SUMPRODUCT((Брони!$B$2:$B$500=B46)*(Брони!$D$2:$D$500=N46)*(((Брони!$F$2:$F$500="Выдана")+(Брони!$F$2:$F$500="Возвращена"))))</f>
        <v/>
      </c>
      <c r="Q46" s="10" t="n"/>
    </row>
    <row r="47">
      <c r="A47" s="11" t="n"/>
      <c r="B47" s="10" t="n"/>
      <c r="C47" s="10" t="n"/>
      <c r="D47" s="14" t="n"/>
      <c r="E47" s="10" t="n"/>
      <c r="F47" s="20">
        <f>IF(OR(A47="",B47=""),"",IF(OR(NOT(ISNUMBER(A47)),ISERROR(N47+O47+P47)),"Проверьте даты",IF(AND(N47&gt;0,P47&gt;1),"Дубль",IF(AND(N47&gt;0,O47&gt;0),O47,"Вне аренды"))))</f>
        <v/>
      </c>
      <c r="G47" s="12">
        <f>IF(ISNUMBER(F47),IFERROR(INDEX(Брони!$C$2:$C$500,MATCH(F47,Брони!$A$2:$A$500,0)),""),"")</f>
        <v/>
      </c>
      <c r="H47" s="10" t="n"/>
      <c r="I47" s="18" t="n"/>
      <c r="J47" s="12">
        <f>IF(AND(ISNUMBER(F47),I47&lt;&gt;""),IFERROR(IF(AND(INDEX(Брони!$F$2:$F$500,MATCH(F47,Брони!$A$2:$A$500,0))="Возвращена",I47&gt;INDEX(Брони!$E$2:$E$500,MATCH(F47,Брони!$A$2:$A$500,0))),"Да",""),""),"")</f>
        <v/>
      </c>
      <c r="K47" s="10" t="n"/>
      <c r="L47" s="14" t="n"/>
      <c r="M47" s="15">
        <f>IF(OR(A47="",B47=""),"",IF(AND(ISNUMBER(F47),H47&lt;&gt;"Компания"),D47+L47,0))</f>
        <v/>
      </c>
      <c r="N47" s="21">
        <f>SUMPRODUCT(MAX((Брони!$B$2:$B$500=B47)*((Брони!$F$2:$F$500="Выдана")+(Брони!$F$2:$F$500="Возвращена"))*(Брони!$D$2:$D$500&lt;=A47)*Брони!$D$2:$D$500))</f>
        <v/>
      </c>
      <c r="O47" s="19">
        <f>SUMPRODUCT((Брони!$B$2:$B$500=B47)*(Брони!$D$2:$D$500=N47)*((((Брони!$F$2:$F$500="Выдана")*NOW())+((Брони!$F$2:$F$500="Возвращена")*Брони!$E$2:$E$500))&gt;=A47)*Брони!$A$2:$A$500)</f>
        <v/>
      </c>
      <c r="P47" s="19">
        <f>SUMPRODUCT((Брони!$B$2:$B$500=B47)*(Брони!$D$2:$D$500=N47)*(((Брони!$F$2:$F$500="Выдана")+(Брони!$F$2:$F$500="Возвращена"))))</f>
        <v/>
      </c>
      <c r="Q47" s="10" t="n"/>
    </row>
    <row r="48">
      <c r="A48" s="11" t="n"/>
      <c r="B48" s="10" t="n"/>
      <c r="C48" s="10" t="n"/>
      <c r="D48" s="14" t="n"/>
      <c r="E48" s="10" t="n"/>
      <c r="F48" s="20">
        <f>IF(OR(A48="",B48=""),"",IF(OR(NOT(ISNUMBER(A48)),ISERROR(N48+O48+P48)),"Проверьте даты",IF(AND(N48&gt;0,P48&gt;1),"Дубль",IF(AND(N48&gt;0,O48&gt;0),O48,"Вне аренды"))))</f>
        <v/>
      </c>
      <c r="G48" s="12">
        <f>IF(ISNUMBER(F48),IFERROR(INDEX(Брони!$C$2:$C$500,MATCH(F48,Брони!$A$2:$A$500,0)),""),"")</f>
        <v/>
      </c>
      <c r="H48" s="10" t="n"/>
      <c r="I48" s="18" t="n"/>
      <c r="J48" s="12">
        <f>IF(AND(ISNUMBER(F48),I48&lt;&gt;""),IFERROR(IF(AND(INDEX(Брони!$F$2:$F$500,MATCH(F48,Брони!$A$2:$A$500,0))="Возвращена",I48&gt;INDEX(Брони!$E$2:$E$500,MATCH(F48,Брони!$A$2:$A$500,0))),"Да",""),""),"")</f>
        <v/>
      </c>
      <c r="K48" s="10" t="n"/>
      <c r="L48" s="14" t="n"/>
      <c r="M48" s="15">
        <f>IF(OR(A48="",B48=""),"",IF(AND(ISNUMBER(F48),H48&lt;&gt;"Компания"),D48+L48,0))</f>
        <v/>
      </c>
      <c r="N48" s="21">
        <f>SUMPRODUCT(MAX((Брони!$B$2:$B$500=B48)*((Брони!$F$2:$F$500="Выдана")+(Брони!$F$2:$F$500="Возвращена"))*(Брони!$D$2:$D$500&lt;=A48)*Брони!$D$2:$D$500))</f>
        <v/>
      </c>
      <c r="O48" s="19">
        <f>SUMPRODUCT((Брони!$B$2:$B$500=B48)*(Брони!$D$2:$D$500=N48)*((((Брони!$F$2:$F$500="Выдана")*NOW())+((Брони!$F$2:$F$500="Возвращена")*Брони!$E$2:$E$500))&gt;=A48)*Брони!$A$2:$A$500)</f>
        <v/>
      </c>
      <c r="P48" s="19">
        <f>SUMPRODUCT((Брони!$B$2:$B$500=B48)*(Брони!$D$2:$D$500=N48)*(((Брони!$F$2:$F$500="Выдана")+(Брони!$F$2:$F$500="Возвращена"))))</f>
        <v/>
      </c>
      <c r="Q48" s="10" t="n"/>
    </row>
    <row r="49">
      <c r="A49" s="11" t="n"/>
      <c r="B49" s="10" t="n"/>
      <c r="C49" s="10" t="n"/>
      <c r="D49" s="14" t="n"/>
      <c r="E49" s="10" t="n"/>
      <c r="F49" s="20">
        <f>IF(OR(A49="",B49=""),"",IF(OR(NOT(ISNUMBER(A49)),ISERROR(N49+O49+P49)),"Проверьте даты",IF(AND(N49&gt;0,P49&gt;1),"Дубль",IF(AND(N49&gt;0,O49&gt;0),O49,"Вне аренды"))))</f>
        <v/>
      </c>
      <c r="G49" s="12">
        <f>IF(ISNUMBER(F49),IFERROR(INDEX(Брони!$C$2:$C$500,MATCH(F49,Брони!$A$2:$A$500,0)),""),"")</f>
        <v/>
      </c>
      <c r="H49" s="10" t="n"/>
      <c r="I49" s="18" t="n"/>
      <c r="J49" s="12">
        <f>IF(AND(ISNUMBER(F49),I49&lt;&gt;""),IFERROR(IF(AND(INDEX(Брони!$F$2:$F$500,MATCH(F49,Брони!$A$2:$A$500,0))="Возвращена",I49&gt;INDEX(Брони!$E$2:$E$500,MATCH(F49,Брони!$A$2:$A$500,0))),"Да",""),""),"")</f>
        <v/>
      </c>
      <c r="K49" s="10" t="n"/>
      <c r="L49" s="14" t="n"/>
      <c r="M49" s="15">
        <f>IF(OR(A49="",B49=""),"",IF(AND(ISNUMBER(F49),H49&lt;&gt;"Компания"),D49+L49,0))</f>
        <v/>
      </c>
      <c r="N49" s="21">
        <f>SUMPRODUCT(MAX((Брони!$B$2:$B$500=B49)*((Брони!$F$2:$F$500="Выдана")+(Брони!$F$2:$F$500="Возвращена"))*(Брони!$D$2:$D$500&lt;=A49)*Брони!$D$2:$D$500))</f>
        <v/>
      </c>
      <c r="O49" s="19">
        <f>SUMPRODUCT((Брони!$B$2:$B$500=B49)*(Брони!$D$2:$D$500=N49)*((((Брони!$F$2:$F$500="Выдана")*NOW())+((Брони!$F$2:$F$500="Возвращена")*Брони!$E$2:$E$500))&gt;=A49)*Брони!$A$2:$A$500)</f>
        <v/>
      </c>
      <c r="P49" s="19">
        <f>SUMPRODUCT((Брони!$B$2:$B$500=B49)*(Брони!$D$2:$D$500=N49)*(((Брони!$F$2:$F$500="Выдана")+(Брони!$F$2:$F$500="Возвращена"))))</f>
        <v/>
      </c>
      <c r="Q49" s="10" t="n"/>
    </row>
    <row r="50">
      <c r="A50" s="11" t="n"/>
      <c r="B50" s="10" t="n"/>
      <c r="C50" s="10" t="n"/>
      <c r="D50" s="14" t="n"/>
      <c r="E50" s="10" t="n"/>
      <c r="F50" s="20">
        <f>IF(OR(A50="",B50=""),"",IF(OR(NOT(ISNUMBER(A50)),ISERROR(N50+O50+P50)),"Проверьте даты",IF(AND(N50&gt;0,P50&gt;1),"Дубль",IF(AND(N50&gt;0,O50&gt;0),O50,"Вне аренды"))))</f>
        <v/>
      </c>
      <c r="G50" s="12">
        <f>IF(ISNUMBER(F50),IFERROR(INDEX(Брони!$C$2:$C$500,MATCH(F50,Брони!$A$2:$A$500,0)),""),"")</f>
        <v/>
      </c>
      <c r="H50" s="10" t="n"/>
      <c r="I50" s="18" t="n"/>
      <c r="J50" s="12">
        <f>IF(AND(ISNUMBER(F50),I50&lt;&gt;""),IFERROR(IF(AND(INDEX(Брони!$F$2:$F$500,MATCH(F50,Брони!$A$2:$A$500,0))="Возвращена",I50&gt;INDEX(Брони!$E$2:$E$500,MATCH(F50,Брони!$A$2:$A$500,0))),"Да",""),""),"")</f>
        <v/>
      </c>
      <c r="K50" s="10" t="n"/>
      <c r="L50" s="14" t="n"/>
      <c r="M50" s="15">
        <f>IF(OR(A50="",B50=""),"",IF(AND(ISNUMBER(F50),H50&lt;&gt;"Компания"),D50+L50,0))</f>
        <v/>
      </c>
      <c r="N50" s="21">
        <f>SUMPRODUCT(MAX((Брони!$B$2:$B$500=B50)*((Брони!$F$2:$F$500="Выдана")+(Брони!$F$2:$F$500="Возвращена"))*(Брони!$D$2:$D$500&lt;=A50)*Брони!$D$2:$D$500))</f>
        <v/>
      </c>
      <c r="O50" s="19">
        <f>SUMPRODUCT((Брони!$B$2:$B$500=B50)*(Брони!$D$2:$D$500=N50)*((((Брони!$F$2:$F$500="Выдана")*NOW())+((Брони!$F$2:$F$500="Возвращена")*Брони!$E$2:$E$500))&gt;=A50)*Брони!$A$2:$A$500)</f>
        <v/>
      </c>
      <c r="P50" s="19">
        <f>SUMPRODUCT((Брони!$B$2:$B$500=B50)*(Брони!$D$2:$D$500=N50)*(((Брони!$F$2:$F$500="Выдана")+(Брони!$F$2:$F$500="Возвращена"))))</f>
        <v/>
      </c>
      <c r="Q50" s="10" t="n"/>
    </row>
    <row r="51">
      <c r="A51" s="11" t="n"/>
      <c r="B51" s="10" t="n"/>
      <c r="C51" s="10" t="n"/>
      <c r="D51" s="14" t="n"/>
      <c r="E51" s="10" t="n"/>
      <c r="F51" s="20">
        <f>IF(OR(A51="",B51=""),"",IF(OR(NOT(ISNUMBER(A51)),ISERROR(N51+O51+P51)),"Проверьте даты",IF(AND(N51&gt;0,P51&gt;1),"Дубль",IF(AND(N51&gt;0,O51&gt;0),O51,"Вне аренды"))))</f>
        <v/>
      </c>
      <c r="G51" s="12">
        <f>IF(ISNUMBER(F51),IFERROR(INDEX(Брони!$C$2:$C$500,MATCH(F51,Брони!$A$2:$A$500,0)),""),"")</f>
        <v/>
      </c>
      <c r="H51" s="10" t="n"/>
      <c r="I51" s="18" t="n"/>
      <c r="J51" s="12">
        <f>IF(AND(ISNUMBER(F51),I51&lt;&gt;""),IFERROR(IF(AND(INDEX(Брони!$F$2:$F$500,MATCH(F51,Брони!$A$2:$A$500,0))="Возвращена",I51&gt;INDEX(Брони!$E$2:$E$500,MATCH(F51,Брони!$A$2:$A$500,0))),"Да",""),""),"")</f>
        <v/>
      </c>
      <c r="K51" s="10" t="n"/>
      <c r="L51" s="14" t="n"/>
      <c r="M51" s="15">
        <f>IF(OR(A51="",B51=""),"",IF(AND(ISNUMBER(F51),H51&lt;&gt;"Компания"),D51+L51,0))</f>
        <v/>
      </c>
      <c r="N51" s="21">
        <f>SUMPRODUCT(MAX((Брони!$B$2:$B$500=B51)*((Брони!$F$2:$F$500="Выдана")+(Брони!$F$2:$F$500="Возвращена"))*(Брони!$D$2:$D$500&lt;=A51)*Брони!$D$2:$D$500))</f>
        <v/>
      </c>
      <c r="O51" s="19">
        <f>SUMPRODUCT((Брони!$B$2:$B$500=B51)*(Брони!$D$2:$D$500=N51)*((((Брони!$F$2:$F$500="Выдана")*NOW())+((Брони!$F$2:$F$500="Возвращена")*Брони!$E$2:$E$500))&gt;=A51)*Брони!$A$2:$A$500)</f>
        <v/>
      </c>
      <c r="P51" s="19">
        <f>SUMPRODUCT((Брони!$B$2:$B$500=B51)*(Брони!$D$2:$D$500=N51)*(((Брони!$F$2:$F$500="Выдана")+(Брони!$F$2:$F$500="Возвращена"))))</f>
        <v/>
      </c>
      <c r="Q51" s="10" t="n"/>
    </row>
    <row r="52">
      <c r="A52" s="11" t="n"/>
      <c r="B52" s="10" t="n"/>
      <c r="C52" s="10" t="n"/>
      <c r="D52" s="14" t="n"/>
      <c r="E52" s="10" t="n"/>
      <c r="F52" s="20">
        <f>IF(OR(A52="",B52=""),"",IF(OR(NOT(ISNUMBER(A52)),ISERROR(N52+O52+P52)),"Проверьте даты",IF(AND(N52&gt;0,P52&gt;1),"Дубль",IF(AND(N52&gt;0,O52&gt;0),O52,"Вне аренды"))))</f>
        <v/>
      </c>
      <c r="G52" s="12">
        <f>IF(ISNUMBER(F52),IFERROR(INDEX(Брони!$C$2:$C$500,MATCH(F52,Брони!$A$2:$A$500,0)),""),"")</f>
        <v/>
      </c>
      <c r="H52" s="10" t="n"/>
      <c r="I52" s="18" t="n"/>
      <c r="J52" s="12">
        <f>IF(AND(ISNUMBER(F52),I52&lt;&gt;""),IFERROR(IF(AND(INDEX(Брони!$F$2:$F$500,MATCH(F52,Брони!$A$2:$A$500,0))="Возвращена",I52&gt;INDEX(Брони!$E$2:$E$500,MATCH(F52,Брони!$A$2:$A$500,0))),"Да",""),""),"")</f>
        <v/>
      </c>
      <c r="K52" s="10" t="n"/>
      <c r="L52" s="14" t="n"/>
      <c r="M52" s="15">
        <f>IF(OR(A52="",B52=""),"",IF(AND(ISNUMBER(F52),H52&lt;&gt;"Компания"),D52+L52,0))</f>
        <v/>
      </c>
      <c r="N52" s="21">
        <f>SUMPRODUCT(MAX((Брони!$B$2:$B$500=B52)*((Брони!$F$2:$F$500="Выдана")+(Брони!$F$2:$F$500="Возвращена"))*(Брони!$D$2:$D$500&lt;=A52)*Брони!$D$2:$D$500))</f>
        <v/>
      </c>
      <c r="O52" s="19">
        <f>SUMPRODUCT((Брони!$B$2:$B$500=B52)*(Брони!$D$2:$D$500=N52)*((((Брони!$F$2:$F$500="Выдана")*NOW())+((Брони!$F$2:$F$500="Возвращена")*Брони!$E$2:$E$500))&gt;=A52)*Брони!$A$2:$A$500)</f>
        <v/>
      </c>
      <c r="P52" s="19">
        <f>SUMPRODUCT((Брони!$B$2:$B$500=B52)*(Брони!$D$2:$D$500=N52)*(((Брони!$F$2:$F$500="Выдана")+(Брони!$F$2:$F$500="Возвращена"))))</f>
        <v/>
      </c>
      <c r="Q52" s="10" t="n"/>
    </row>
    <row r="53">
      <c r="A53" s="11" t="n"/>
      <c r="B53" s="10" t="n"/>
      <c r="C53" s="10" t="n"/>
      <c r="D53" s="14" t="n"/>
      <c r="E53" s="10" t="n"/>
      <c r="F53" s="20">
        <f>IF(OR(A53="",B53=""),"",IF(OR(NOT(ISNUMBER(A53)),ISERROR(N53+O53+P53)),"Проверьте даты",IF(AND(N53&gt;0,P53&gt;1),"Дубль",IF(AND(N53&gt;0,O53&gt;0),O53,"Вне аренды"))))</f>
        <v/>
      </c>
      <c r="G53" s="12">
        <f>IF(ISNUMBER(F53),IFERROR(INDEX(Брони!$C$2:$C$500,MATCH(F53,Брони!$A$2:$A$500,0)),""),"")</f>
        <v/>
      </c>
      <c r="H53" s="10" t="n"/>
      <c r="I53" s="18" t="n"/>
      <c r="J53" s="12">
        <f>IF(AND(ISNUMBER(F53),I53&lt;&gt;""),IFERROR(IF(AND(INDEX(Брони!$F$2:$F$500,MATCH(F53,Брони!$A$2:$A$500,0))="Возвращена",I53&gt;INDEX(Брони!$E$2:$E$500,MATCH(F53,Брони!$A$2:$A$500,0))),"Да",""),""),"")</f>
        <v/>
      </c>
      <c r="K53" s="10" t="n"/>
      <c r="L53" s="14" t="n"/>
      <c r="M53" s="15">
        <f>IF(OR(A53="",B53=""),"",IF(AND(ISNUMBER(F53),H53&lt;&gt;"Компания"),D53+L53,0))</f>
        <v/>
      </c>
      <c r="N53" s="21">
        <f>SUMPRODUCT(MAX((Брони!$B$2:$B$500=B53)*((Брони!$F$2:$F$500="Выдана")+(Брони!$F$2:$F$500="Возвращена"))*(Брони!$D$2:$D$500&lt;=A53)*Брони!$D$2:$D$500))</f>
        <v/>
      </c>
      <c r="O53" s="19">
        <f>SUMPRODUCT((Брони!$B$2:$B$500=B53)*(Брони!$D$2:$D$500=N53)*((((Брони!$F$2:$F$500="Выдана")*NOW())+((Брони!$F$2:$F$500="Возвращена")*Брони!$E$2:$E$500))&gt;=A53)*Брони!$A$2:$A$500)</f>
        <v/>
      </c>
      <c r="P53" s="19">
        <f>SUMPRODUCT((Брони!$B$2:$B$500=B53)*(Брони!$D$2:$D$500=N53)*(((Брони!$F$2:$F$500="Выдана")+(Брони!$F$2:$F$500="Возвращена"))))</f>
        <v/>
      </c>
      <c r="Q53" s="10" t="n"/>
    </row>
    <row r="54">
      <c r="A54" s="11" t="n"/>
      <c r="B54" s="10" t="n"/>
      <c r="C54" s="10" t="n"/>
      <c r="D54" s="14" t="n"/>
      <c r="E54" s="10" t="n"/>
      <c r="F54" s="20">
        <f>IF(OR(A54="",B54=""),"",IF(OR(NOT(ISNUMBER(A54)),ISERROR(N54+O54+P54)),"Проверьте даты",IF(AND(N54&gt;0,P54&gt;1),"Дубль",IF(AND(N54&gt;0,O54&gt;0),O54,"Вне аренды"))))</f>
        <v/>
      </c>
      <c r="G54" s="12">
        <f>IF(ISNUMBER(F54),IFERROR(INDEX(Брони!$C$2:$C$500,MATCH(F54,Брони!$A$2:$A$500,0)),""),"")</f>
        <v/>
      </c>
      <c r="H54" s="10" t="n"/>
      <c r="I54" s="18" t="n"/>
      <c r="J54" s="12">
        <f>IF(AND(ISNUMBER(F54),I54&lt;&gt;""),IFERROR(IF(AND(INDEX(Брони!$F$2:$F$500,MATCH(F54,Брони!$A$2:$A$500,0))="Возвращена",I54&gt;INDEX(Брони!$E$2:$E$500,MATCH(F54,Брони!$A$2:$A$500,0))),"Да",""),""),"")</f>
        <v/>
      </c>
      <c r="K54" s="10" t="n"/>
      <c r="L54" s="14" t="n"/>
      <c r="M54" s="15">
        <f>IF(OR(A54="",B54=""),"",IF(AND(ISNUMBER(F54),H54&lt;&gt;"Компания"),D54+L54,0))</f>
        <v/>
      </c>
      <c r="N54" s="21">
        <f>SUMPRODUCT(MAX((Брони!$B$2:$B$500=B54)*((Брони!$F$2:$F$500="Выдана")+(Брони!$F$2:$F$500="Возвращена"))*(Брони!$D$2:$D$500&lt;=A54)*Брони!$D$2:$D$500))</f>
        <v/>
      </c>
      <c r="O54" s="19">
        <f>SUMPRODUCT((Брони!$B$2:$B$500=B54)*(Брони!$D$2:$D$500=N54)*((((Брони!$F$2:$F$500="Выдана")*NOW())+((Брони!$F$2:$F$500="Возвращена")*Брони!$E$2:$E$500))&gt;=A54)*Брони!$A$2:$A$500)</f>
        <v/>
      </c>
      <c r="P54" s="19">
        <f>SUMPRODUCT((Брони!$B$2:$B$500=B54)*(Брони!$D$2:$D$500=N54)*(((Брони!$F$2:$F$500="Выдана")+(Брони!$F$2:$F$500="Возвращена"))))</f>
        <v/>
      </c>
      <c r="Q54" s="10" t="n"/>
    </row>
    <row r="55">
      <c r="A55" s="11" t="n"/>
      <c r="B55" s="10" t="n"/>
      <c r="C55" s="10" t="n"/>
      <c r="D55" s="14" t="n"/>
      <c r="E55" s="10" t="n"/>
      <c r="F55" s="20">
        <f>IF(OR(A55="",B55=""),"",IF(OR(NOT(ISNUMBER(A55)),ISERROR(N55+O55+P55)),"Проверьте даты",IF(AND(N55&gt;0,P55&gt;1),"Дубль",IF(AND(N55&gt;0,O55&gt;0),O55,"Вне аренды"))))</f>
        <v/>
      </c>
      <c r="G55" s="12">
        <f>IF(ISNUMBER(F55),IFERROR(INDEX(Брони!$C$2:$C$500,MATCH(F55,Брони!$A$2:$A$500,0)),""),"")</f>
        <v/>
      </c>
      <c r="H55" s="10" t="n"/>
      <c r="I55" s="18" t="n"/>
      <c r="J55" s="12">
        <f>IF(AND(ISNUMBER(F55),I55&lt;&gt;""),IFERROR(IF(AND(INDEX(Брони!$F$2:$F$500,MATCH(F55,Брони!$A$2:$A$500,0))="Возвращена",I55&gt;INDEX(Брони!$E$2:$E$500,MATCH(F55,Брони!$A$2:$A$500,0))),"Да",""),""),"")</f>
        <v/>
      </c>
      <c r="K55" s="10" t="n"/>
      <c r="L55" s="14" t="n"/>
      <c r="M55" s="15">
        <f>IF(OR(A55="",B55=""),"",IF(AND(ISNUMBER(F55),H55&lt;&gt;"Компания"),D55+L55,0))</f>
        <v/>
      </c>
      <c r="N55" s="21">
        <f>SUMPRODUCT(MAX((Брони!$B$2:$B$500=B55)*((Брони!$F$2:$F$500="Выдана")+(Брони!$F$2:$F$500="Возвращена"))*(Брони!$D$2:$D$500&lt;=A55)*Брони!$D$2:$D$500))</f>
        <v/>
      </c>
      <c r="O55" s="19">
        <f>SUMPRODUCT((Брони!$B$2:$B$500=B55)*(Брони!$D$2:$D$500=N55)*((((Брони!$F$2:$F$500="Выдана")*NOW())+((Брони!$F$2:$F$500="Возвращена")*Брони!$E$2:$E$500))&gt;=A55)*Брони!$A$2:$A$500)</f>
        <v/>
      </c>
      <c r="P55" s="19">
        <f>SUMPRODUCT((Брони!$B$2:$B$500=B55)*(Брони!$D$2:$D$500=N55)*(((Брони!$F$2:$F$500="Выдана")+(Брони!$F$2:$F$500="Возвращена"))))</f>
        <v/>
      </c>
      <c r="Q55" s="10" t="n"/>
    </row>
    <row r="56">
      <c r="A56" s="11" t="n"/>
      <c r="B56" s="10" t="n"/>
      <c r="C56" s="10" t="n"/>
      <c r="D56" s="14" t="n"/>
      <c r="E56" s="10" t="n"/>
      <c r="F56" s="20">
        <f>IF(OR(A56="",B56=""),"",IF(OR(NOT(ISNUMBER(A56)),ISERROR(N56+O56+P56)),"Проверьте даты",IF(AND(N56&gt;0,P56&gt;1),"Дубль",IF(AND(N56&gt;0,O56&gt;0),O56,"Вне аренды"))))</f>
        <v/>
      </c>
      <c r="G56" s="12">
        <f>IF(ISNUMBER(F56),IFERROR(INDEX(Брони!$C$2:$C$500,MATCH(F56,Брони!$A$2:$A$500,0)),""),"")</f>
        <v/>
      </c>
      <c r="H56" s="10" t="n"/>
      <c r="I56" s="18" t="n"/>
      <c r="J56" s="12">
        <f>IF(AND(ISNUMBER(F56),I56&lt;&gt;""),IFERROR(IF(AND(INDEX(Брони!$F$2:$F$500,MATCH(F56,Брони!$A$2:$A$500,0))="Возвращена",I56&gt;INDEX(Брони!$E$2:$E$500,MATCH(F56,Брони!$A$2:$A$500,0))),"Да",""),""),"")</f>
        <v/>
      </c>
      <c r="K56" s="10" t="n"/>
      <c r="L56" s="14" t="n"/>
      <c r="M56" s="15">
        <f>IF(OR(A56="",B56=""),"",IF(AND(ISNUMBER(F56),H56&lt;&gt;"Компания"),D56+L56,0))</f>
        <v/>
      </c>
      <c r="N56" s="21">
        <f>SUMPRODUCT(MAX((Брони!$B$2:$B$500=B56)*((Брони!$F$2:$F$500="Выдана")+(Брони!$F$2:$F$500="Возвращена"))*(Брони!$D$2:$D$500&lt;=A56)*Брони!$D$2:$D$500))</f>
        <v/>
      </c>
      <c r="O56" s="19">
        <f>SUMPRODUCT((Брони!$B$2:$B$500=B56)*(Брони!$D$2:$D$500=N56)*((((Брони!$F$2:$F$500="Выдана")*NOW())+((Брони!$F$2:$F$500="Возвращена")*Брони!$E$2:$E$500))&gt;=A56)*Брони!$A$2:$A$500)</f>
        <v/>
      </c>
      <c r="P56" s="19">
        <f>SUMPRODUCT((Брони!$B$2:$B$500=B56)*(Брони!$D$2:$D$500=N56)*(((Брони!$F$2:$F$500="Выдана")+(Брони!$F$2:$F$500="Возвращена"))))</f>
        <v/>
      </c>
      <c r="Q56" s="10" t="n"/>
    </row>
    <row r="57">
      <c r="A57" s="11" t="n"/>
      <c r="B57" s="10" t="n"/>
      <c r="C57" s="10" t="n"/>
      <c r="D57" s="14" t="n"/>
      <c r="E57" s="10" t="n"/>
      <c r="F57" s="20">
        <f>IF(OR(A57="",B57=""),"",IF(OR(NOT(ISNUMBER(A57)),ISERROR(N57+O57+P57)),"Проверьте даты",IF(AND(N57&gt;0,P57&gt;1),"Дубль",IF(AND(N57&gt;0,O57&gt;0),O57,"Вне аренды"))))</f>
        <v/>
      </c>
      <c r="G57" s="12">
        <f>IF(ISNUMBER(F57),IFERROR(INDEX(Брони!$C$2:$C$500,MATCH(F57,Брони!$A$2:$A$500,0)),""),"")</f>
        <v/>
      </c>
      <c r="H57" s="10" t="n"/>
      <c r="I57" s="18" t="n"/>
      <c r="J57" s="12">
        <f>IF(AND(ISNUMBER(F57),I57&lt;&gt;""),IFERROR(IF(AND(INDEX(Брони!$F$2:$F$500,MATCH(F57,Брони!$A$2:$A$500,0))="Возвращена",I57&gt;INDEX(Брони!$E$2:$E$500,MATCH(F57,Брони!$A$2:$A$500,0))),"Да",""),""),"")</f>
        <v/>
      </c>
      <c r="K57" s="10" t="n"/>
      <c r="L57" s="14" t="n"/>
      <c r="M57" s="15">
        <f>IF(OR(A57="",B57=""),"",IF(AND(ISNUMBER(F57),H57&lt;&gt;"Компания"),D57+L57,0))</f>
        <v/>
      </c>
      <c r="N57" s="21">
        <f>SUMPRODUCT(MAX((Брони!$B$2:$B$500=B57)*((Брони!$F$2:$F$500="Выдана")+(Брони!$F$2:$F$500="Возвращена"))*(Брони!$D$2:$D$500&lt;=A57)*Брони!$D$2:$D$500))</f>
        <v/>
      </c>
      <c r="O57" s="19">
        <f>SUMPRODUCT((Брони!$B$2:$B$500=B57)*(Брони!$D$2:$D$500=N57)*((((Брони!$F$2:$F$500="Выдана")*NOW())+((Брони!$F$2:$F$500="Возвращена")*Брони!$E$2:$E$500))&gt;=A57)*Брони!$A$2:$A$500)</f>
        <v/>
      </c>
      <c r="P57" s="19">
        <f>SUMPRODUCT((Брони!$B$2:$B$500=B57)*(Брони!$D$2:$D$500=N57)*(((Брони!$F$2:$F$500="Выдана")+(Брони!$F$2:$F$500="Возвращена"))))</f>
        <v/>
      </c>
      <c r="Q57" s="10" t="n"/>
    </row>
    <row r="58">
      <c r="A58" s="11" t="n"/>
      <c r="B58" s="10" t="n"/>
      <c r="C58" s="10" t="n"/>
      <c r="D58" s="14" t="n"/>
      <c r="E58" s="10" t="n"/>
      <c r="F58" s="20">
        <f>IF(OR(A58="",B58=""),"",IF(OR(NOT(ISNUMBER(A58)),ISERROR(N58+O58+P58)),"Проверьте даты",IF(AND(N58&gt;0,P58&gt;1),"Дубль",IF(AND(N58&gt;0,O58&gt;0),O58,"Вне аренды"))))</f>
        <v/>
      </c>
      <c r="G58" s="12">
        <f>IF(ISNUMBER(F58),IFERROR(INDEX(Брони!$C$2:$C$500,MATCH(F58,Брони!$A$2:$A$500,0)),""),"")</f>
        <v/>
      </c>
      <c r="H58" s="10" t="n"/>
      <c r="I58" s="18" t="n"/>
      <c r="J58" s="12">
        <f>IF(AND(ISNUMBER(F58),I58&lt;&gt;""),IFERROR(IF(AND(INDEX(Брони!$F$2:$F$500,MATCH(F58,Брони!$A$2:$A$500,0))="Возвращена",I58&gt;INDEX(Брони!$E$2:$E$500,MATCH(F58,Брони!$A$2:$A$500,0))),"Да",""),""),"")</f>
        <v/>
      </c>
      <c r="K58" s="10" t="n"/>
      <c r="L58" s="14" t="n"/>
      <c r="M58" s="15">
        <f>IF(OR(A58="",B58=""),"",IF(AND(ISNUMBER(F58),H58&lt;&gt;"Компания"),D58+L58,0))</f>
        <v/>
      </c>
      <c r="N58" s="21">
        <f>SUMPRODUCT(MAX((Брони!$B$2:$B$500=B58)*((Брони!$F$2:$F$500="Выдана")+(Брони!$F$2:$F$500="Возвращена"))*(Брони!$D$2:$D$500&lt;=A58)*Брони!$D$2:$D$500))</f>
        <v/>
      </c>
      <c r="O58" s="19">
        <f>SUMPRODUCT((Брони!$B$2:$B$500=B58)*(Брони!$D$2:$D$500=N58)*((((Брони!$F$2:$F$500="Выдана")*NOW())+((Брони!$F$2:$F$500="Возвращена")*Брони!$E$2:$E$500))&gt;=A58)*Брони!$A$2:$A$500)</f>
        <v/>
      </c>
      <c r="P58" s="19">
        <f>SUMPRODUCT((Брони!$B$2:$B$500=B58)*(Брони!$D$2:$D$500=N58)*(((Брони!$F$2:$F$500="Выдана")+(Брони!$F$2:$F$500="Возвращена"))))</f>
        <v/>
      </c>
      <c r="Q58" s="10" t="n"/>
    </row>
    <row r="59">
      <c r="A59" s="11" t="n"/>
      <c r="B59" s="10" t="n"/>
      <c r="C59" s="10" t="n"/>
      <c r="D59" s="14" t="n"/>
      <c r="E59" s="10" t="n"/>
      <c r="F59" s="20">
        <f>IF(OR(A59="",B59=""),"",IF(OR(NOT(ISNUMBER(A59)),ISERROR(N59+O59+P59)),"Проверьте даты",IF(AND(N59&gt;0,P59&gt;1),"Дубль",IF(AND(N59&gt;0,O59&gt;0),O59,"Вне аренды"))))</f>
        <v/>
      </c>
      <c r="G59" s="12">
        <f>IF(ISNUMBER(F59),IFERROR(INDEX(Брони!$C$2:$C$500,MATCH(F59,Брони!$A$2:$A$500,0)),""),"")</f>
        <v/>
      </c>
      <c r="H59" s="10" t="n"/>
      <c r="I59" s="18" t="n"/>
      <c r="J59" s="12">
        <f>IF(AND(ISNUMBER(F59),I59&lt;&gt;""),IFERROR(IF(AND(INDEX(Брони!$F$2:$F$500,MATCH(F59,Брони!$A$2:$A$500,0))="Возвращена",I59&gt;INDEX(Брони!$E$2:$E$500,MATCH(F59,Брони!$A$2:$A$500,0))),"Да",""),""),"")</f>
        <v/>
      </c>
      <c r="K59" s="10" t="n"/>
      <c r="L59" s="14" t="n"/>
      <c r="M59" s="15">
        <f>IF(OR(A59="",B59=""),"",IF(AND(ISNUMBER(F59),H59&lt;&gt;"Компания"),D59+L59,0))</f>
        <v/>
      </c>
      <c r="N59" s="21">
        <f>SUMPRODUCT(MAX((Брони!$B$2:$B$500=B59)*((Брони!$F$2:$F$500="Выдана")+(Брони!$F$2:$F$500="Возвращена"))*(Брони!$D$2:$D$500&lt;=A59)*Брони!$D$2:$D$500))</f>
        <v/>
      </c>
      <c r="O59" s="19">
        <f>SUMPRODUCT((Брони!$B$2:$B$500=B59)*(Брони!$D$2:$D$500=N59)*((((Брони!$F$2:$F$500="Выдана")*NOW())+((Брони!$F$2:$F$500="Возвращена")*Брони!$E$2:$E$500))&gt;=A59)*Брони!$A$2:$A$500)</f>
        <v/>
      </c>
      <c r="P59" s="19">
        <f>SUMPRODUCT((Брони!$B$2:$B$500=B59)*(Брони!$D$2:$D$500=N59)*(((Брони!$F$2:$F$500="Выдана")+(Брони!$F$2:$F$500="Возвращена"))))</f>
        <v/>
      </c>
      <c r="Q59" s="10" t="n"/>
    </row>
    <row r="60">
      <c r="A60" s="11" t="n"/>
      <c r="B60" s="10" t="n"/>
      <c r="C60" s="10" t="n"/>
      <c r="D60" s="14" t="n"/>
      <c r="E60" s="10" t="n"/>
      <c r="F60" s="20">
        <f>IF(OR(A60="",B60=""),"",IF(OR(NOT(ISNUMBER(A60)),ISERROR(N60+O60+P60)),"Проверьте даты",IF(AND(N60&gt;0,P60&gt;1),"Дубль",IF(AND(N60&gt;0,O60&gt;0),O60,"Вне аренды"))))</f>
        <v/>
      </c>
      <c r="G60" s="12">
        <f>IF(ISNUMBER(F60),IFERROR(INDEX(Брони!$C$2:$C$500,MATCH(F60,Брони!$A$2:$A$500,0)),""),"")</f>
        <v/>
      </c>
      <c r="H60" s="10" t="n"/>
      <c r="I60" s="18" t="n"/>
      <c r="J60" s="12">
        <f>IF(AND(ISNUMBER(F60),I60&lt;&gt;""),IFERROR(IF(AND(INDEX(Брони!$F$2:$F$500,MATCH(F60,Брони!$A$2:$A$500,0))="Возвращена",I60&gt;INDEX(Брони!$E$2:$E$500,MATCH(F60,Брони!$A$2:$A$500,0))),"Да",""),""),"")</f>
        <v/>
      </c>
      <c r="K60" s="10" t="n"/>
      <c r="L60" s="14" t="n"/>
      <c r="M60" s="15">
        <f>IF(OR(A60="",B60=""),"",IF(AND(ISNUMBER(F60),H60&lt;&gt;"Компания"),D60+L60,0))</f>
        <v/>
      </c>
      <c r="N60" s="21">
        <f>SUMPRODUCT(MAX((Брони!$B$2:$B$500=B60)*((Брони!$F$2:$F$500="Выдана")+(Брони!$F$2:$F$500="Возвращена"))*(Брони!$D$2:$D$500&lt;=A60)*Брони!$D$2:$D$500))</f>
        <v/>
      </c>
      <c r="O60" s="19">
        <f>SUMPRODUCT((Брони!$B$2:$B$500=B60)*(Брони!$D$2:$D$500=N60)*((((Брони!$F$2:$F$500="Выдана")*NOW())+((Брони!$F$2:$F$500="Возвращена")*Брони!$E$2:$E$500))&gt;=A60)*Брони!$A$2:$A$500)</f>
        <v/>
      </c>
      <c r="P60" s="19">
        <f>SUMPRODUCT((Брони!$B$2:$B$500=B60)*(Брони!$D$2:$D$500=N60)*(((Брони!$F$2:$F$500="Выдана")+(Брони!$F$2:$F$500="Возвращена"))))</f>
        <v/>
      </c>
      <c r="Q60" s="10" t="n"/>
    </row>
    <row r="61">
      <c r="A61" s="11" t="n"/>
      <c r="B61" s="10" t="n"/>
      <c r="C61" s="10" t="n"/>
      <c r="D61" s="14" t="n"/>
      <c r="E61" s="10" t="n"/>
      <c r="F61" s="20">
        <f>IF(OR(A61="",B61=""),"",IF(OR(NOT(ISNUMBER(A61)),ISERROR(N61+O61+P61)),"Проверьте даты",IF(AND(N61&gt;0,P61&gt;1),"Дубль",IF(AND(N61&gt;0,O61&gt;0),O61,"Вне аренды"))))</f>
        <v/>
      </c>
      <c r="G61" s="12">
        <f>IF(ISNUMBER(F61),IFERROR(INDEX(Брони!$C$2:$C$500,MATCH(F61,Брони!$A$2:$A$500,0)),""),"")</f>
        <v/>
      </c>
      <c r="H61" s="10" t="n"/>
      <c r="I61" s="18" t="n"/>
      <c r="J61" s="12">
        <f>IF(AND(ISNUMBER(F61),I61&lt;&gt;""),IFERROR(IF(AND(INDEX(Брони!$F$2:$F$500,MATCH(F61,Брони!$A$2:$A$500,0))="Возвращена",I61&gt;INDEX(Брони!$E$2:$E$500,MATCH(F61,Брони!$A$2:$A$500,0))),"Да",""),""),"")</f>
        <v/>
      </c>
      <c r="K61" s="10" t="n"/>
      <c r="L61" s="14" t="n"/>
      <c r="M61" s="15">
        <f>IF(OR(A61="",B61=""),"",IF(AND(ISNUMBER(F61),H61&lt;&gt;"Компания"),D61+L61,0))</f>
        <v/>
      </c>
      <c r="N61" s="21">
        <f>SUMPRODUCT(MAX((Брони!$B$2:$B$500=B61)*((Брони!$F$2:$F$500="Выдана")+(Брони!$F$2:$F$500="Возвращена"))*(Брони!$D$2:$D$500&lt;=A61)*Брони!$D$2:$D$500))</f>
        <v/>
      </c>
      <c r="O61" s="19">
        <f>SUMPRODUCT((Брони!$B$2:$B$500=B61)*(Брони!$D$2:$D$500=N61)*((((Брони!$F$2:$F$500="Выдана")*NOW())+((Брони!$F$2:$F$500="Возвращена")*Брони!$E$2:$E$500))&gt;=A61)*Брони!$A$2:$A$500)</f>
        <v/>
      </c>
      <c r="P61" s="19">
        <f>SUMPRODUCT((Брони!$B$2:$B$500=B61)*(Брони!$D$2:$D$500=N61)*(((Брони!$F$2:$F$500="Выдана")+(Брони!$F$2:$F$500="Возвращена"))))</f>
        <v/>
      </c>
      <c r="Q61" s="10" t="n"/>
    </row>
    <row r="62">
      <c r="A62" s="11" t="n"/>
      <c r="B62" s="10" t="n"/>
      <c r="C62" s="10" t="n"/>
      <c r="D62" s="14" t="n"/>
      <c r="E62" s="10" t="n"/>
      <c r="F62" s="20">
        <f>IF(OR(A62="",B62=""),"",IF(OR(NOT(ISNUMBER(A62)),ISERROR(N62+O62+P62)),"Проверьте даты",IF(AND(N62&gt;0,P62&gt;1),"Дубль",IF(AND(N62&gt;0,O62&gt;0),O62,"Вне аренды"))))</f>
        <v/>
      </c>
      <c r="G62" s="12">
        <f>IF(ISNUMBER(F62),IFERROR(INDEX(Брони!$C$2:$C$500,MATCH(F62,Брони!$A$2:$A$500,0)),""),"")</f>
        <v/>
      </c>
      <c r="H62" s="10" t="n"/>
      <c r="I62" s="18" t="n"/>
      <c r="J62" s="12">
        <f>IF(AND(ISNUMBER(F62),I62&lt;&gt;""),IFERROR(IF(AND(INDEX(Брони!$F$2:$F$500,MATCH(F62,Брони!$A$2:$A$500,0))="Возвращена",I62&gt;INDEX(Брони!$E$2:$E$500,MATCH(F62,Брони!$A$2:$A$500,0))),"Да",""),""),"")</f>
        <v/>
      </c>
      <c r="K62" s="10" t="n"/>
      <c r="L62" s="14" t="n"/>
      <c r="M62" s="15">
        <f>IF(OR(A62="",B62=""),"",IF(AND(ISNUMBER(F62),H62&lt;&gt;"Компания"),D62+L62,0))</f>
        <v/>
      </c>
      <c r="N62" s="21">
        <f>SUMPRODUCT(MAX((Брони!$B$2:$B$500=B62)*((Брони!$F$2:$F$500="Выдана")+(Брони!$F$2:$F$500="Возвращена"))*(Брони!$D$2:$D$500&lt;=A62)*Брони!$D$2:$D$500))</f>
        <v/>
      </c>
      <c r="O62" s="19">
        <f>SUMPRODUCT((Брони!$B$2:$B$500=B62)*(Брони!$D$2:$D$500=N62)*((((Брони!$F$2:$F$500="Выдана")*NOW())+((Брони!$F$2:$F$500="Возвращена")*Брони!$E$2:$E$500))&gt;=A62)*Брони!$A$2:$A$500)</f>
        <v/>
      </c>
      <c r="P62" s="19">
        <f>SUMPRODUCT((Брони!$B$2:$B$500=B62)*(Брони!$D$2:$D$500=N62)*(((Брони!$F$2:$F$500="Выдана")+(Брони!$F$2:$F$500="Возвращена"))))</f>
        <v/>
      </c>
      <c r="Q62" s="10" t="n"/>
    </row>
    <row r="63">
      <c r="A63" s="11" t="n"/>
      <c r="B63" s="10" t="n"/>
      <c r="C63" s="10" t="n"/>
      <c r="D63" s="14" t="n"/>
      <c r="E63" s="10" t="n"/>
      <c r="F63" s="20">
        <f>IF(OR(A63="",B63=""),"",IF(OR(NOT(ISNUMBER(A63)),ISERROR(N63+O63+P63)),"Проверьте даты",IF(AND(N63&gt;0,P63&gt;1),"Дубль",IF(AND(N63&gt;0,O63&gt;0),O63,"Вне аренды"))))</f>
        <v/>
      </c>
      <c r="G63" s="12">
        <f>IF(ISNUMBER(F63),IFERROR(INDEX(Брони!$C$2:$C$500,MATCH(F63,Брони!$A$2:$A$500,0)),""),"")</f>
        <v/>
      </c>
      <c r="H63" s="10" t="n"/>
      <c r="I63" s="18" t="n"/>
      <c r="J63" s="12">
        <f>IF(AND(ISNUMBER(F63),I63&lt;&gt;""),IFERROR(IF(AND(INDEX(Брони!$F$2:$F$500,MATCH(F63,Брони!$A$2:$A$500,0))="Возвращена",I63&gt;INDEX(Брони!$E$2:$E$500,MATCH(F63,Брони!$A$2:$A$500,0))),"Да",""),""),"")</f>
        <v/>
      </c>
      <c r="K63" s="10" t="n"/>
      <c r="L63" s="14" t="n"/>
      <c r="M63" s="15">
        <f>IF(OR(A63="",B63=""),"",IF(AND(ISNUMBER(F63),H63&lt;&gt;"Компания"),D63+L63,0))</f>
        <v/>
      </c>
      <c r="N63" s="21">
        <f>SUMPRODUCT(MAX((Брони!$B$2:$B$500=B63)*((Брони!$F$2:$F$500="Выдана")+(Брони!$F$2:$F$500="Возвращена"))*(Брони!$D$2:$D$500&lt;=A63)*Брони!$D$2:$D$500))</f>
        <v/>
      </c>
      <c r="O63" s="19">
        <f>SUMPRODUCT((Брони!$B$2:$B$500=B63)*(Брони!$D$2:$D$500=N63)*((((Брони!$F$2:$F$500="Выдана")*NOW())+((Брони!$F$2:$F$500="Возвращена")*Брони!$E$2:$E$500))&gt;=A63)*Брони!$A$2:$A$500)</f>
        <v/>
      </c>
      <c r="P63" s="19">
        <f>SUMPRODUCT((Брони!$B$2:$B$500=B63)*(Брони!$D$2:$D$500=N63)*(((Брони!$F$2:$F$500="Выдана")+(Брони!$F$2:$F$500="Возвращена"))))</f>
        <v/>
      </c>
      <c r="Q63" s="10" t="n"/>
    </row>
    <row r="64">
      <c r="A64" s="11" t="n"/>
      <c r="B64" s="10" t="n"/>
      <c r="C64" s="10" t="n"/>
      <c r="D64" s="14" t="n"/>
      <c r="E64" s="10" t="n"/>
      <c r="F64" s="20">
        <f>IF(OR(A64="",B64=""),"",IF(OR(NOT(ISNUMBER(A64)),ISERROR(N64+O64+P64)),"Проверьте даты",IF(AND(N64&gt;0,P64&gt;1),"Дубль",IF(AND(N64&gt;0,O64&gt;0),O64,"Вне аренды"))))</f>
        <v/>
      </c>
      <c r="G64" s="12">
        <f>IF(ISNUMBER(F64),IFERROR(INDEX(Брони!$C$2:$C$500,MATCH(F64,Брони!$A$2:$A$500,0)),""),"")</f>
        <v/>
      </c>
      <c r="H64" s="10" t="n"/>
      <c r="I64" s="18" t="n"/>
      <c r="J64" s="12">
        <f>IF(AND(ISNUMBER(F64),I64&lt;&gt;""),IFERROR(IF(AND(INDEX(Брони!$F$2:$F$500,MATCH(F64,Брони!$A$2:$A$500,0))="Возвращена",I64&gt;INDEX(Брони!$E$2:$E$500,MATCH(F64,Брони!$A$2:$A$500,0))),"Да",""),""),"")</f>
        <v/>
      </c>
      <c r="K64" s="10" t="n"/>
      <c r="L64" s="14" t="n"/>
      <c r="M64" s="15">
        <f>IF(OR(A64="",B64=""),"",IF(AND(ISNUMBER(F64),H64&lt;&gt;"Компания"),D64+L64,0))</f>
        <v/>
      </c>
      <c r="N64" s="21">
        <f>SUMPRODUCT(MAX((Брони!$B$2:$B$500=B64)*((Брони!$F$2:$F$500="Выдана")+(Брони!$F$2:$F$500="Возвращена"))*(Брони!$D$2:$D$500&lt;=A64)*Брони!$D$2:$D$500))</f>
        <v/>
      </c>
      <c r="O64" s="19">
        <f>SUMPRODUCT((Брони!$B$2:$B$500=B64)*(Брони!$D$2:$D$500=N64)*((((Брони!$F$2:$F$500="Выдана")*NOW())+((Брони!$F$2:$F$500="Возвращена")*Брони!$E$2:$E$500))&gt;=A64)*Брони!$A$2:$A$500)</f>
        <v/>
      </c>
      <c r="P64" s="19">
        <f>SUMPRODUCT((Брони!$B$2:$B$500=B64)*(Брони!$D$2:$D$500=N64)*(((Брони!$F$2:$F$500="Выдана")+(Брони!$F$2:$F$500="Возвращена"))))</f>
        <v/>
      </c>
      <c r="Q64" s="10" t="n"/>
    </row>
    <row r="65">
      <c r="A65" s="11" t="n"/>
      <c r="B65" s="10" t="n"/>
      <c r="C65" s="10" t="n"/>
      <c r="D65" s="14" t="n"/>
      <c r="E65" s="10" t="n"/>
      <c r="F65" s="20">
        <f>IF(OR(A65="",B65=""),"",IF(OR(NOT(ISNUMBER(A65)),ISERROR(N65+O65+P65)),"Проверьте даты",IF(AND(N65&gt;0,P65&gt;1),"Дубль",IF(AND(N65&gt;0,O65&gt;0),O65,"Вне аренды"))))</f>
        <v/>
      </c>
      <c r="G65" s="12">
        <f>IF(ISNUMBER(F65),IFERROR(INDEX(Брони!$C$2:$C$500,MATCH(F65,Брони!$A$2:$A$500,0)),""),"")</f>
        <v/>
      </c>
      <c r="H65" s="10" t="n"/>
      <c r="I65" s="18" t="n"/>
      <c r="J65" s="12">
        <f>IF(AND(ISNUMBER(F65),I65&lt;&gt;""),IFERROR(IF(AND(INDEX(Брони!$F$2:$F$500,MATCH(F65,Брони!$A$2:$A$500,0))="Возвращена",I65&gt;INDEX(Брони!$E$2:$E$500,MATCH(F65,Брони!$A$2:$A$500,0))),"Да",""),""),"")</f>
        <v/>
      </c>
      <c r="K65" s="10" t="n"/>
      <c r="L65" s="14" t="n"/>
      <c r="M65" s="15">
        <f>IF(OR(A65="",B65=""),"",IF(AND(ISNUMBER(F65),H65&lt;&gt;"Компания"),D65+L65,0))</f>
        <v/>
      </c>
      <c r="N65" s="21">
        <f>SUMPRODUCT(MAX((Брони!$B$2:$B$500=B65)*((Брони!$F$2:$F$500="Выдана")+(Брони!$F$2:$F$500="Возвращена"))*(Брони!$D$2:$D$500&lt;=A65)*Брони!$D$2:$D$500))</f>
        <v/>
      </c>
      <c r="O65" s="19">
        <f>SUMPRODUCT((Брони!$B$2:$B$500=B65)*(Брони!$D$2:$D$500=N65)*((((Брони!$F$2:$F$500="Выдана")*NOW())+((Брони!$F$2:$F$500="Возвращена")*Брони!$E$2:$E$500))&gt;=A65)*Брони!$A$2:$A$500)</f>
        <v/>
      </c>
      <c r="P65" s="19">
        <f>SUMPRODUCT((Брони!$B$2:$B$500=B65)*(Брони!$D$2:$D$500=N65)*(((Брони!$F$2:$F$500="Выдана")+(Брони!$F$2:$F$500="Возвращена"))))</f>
        <v/>
      </c>
      <c r="Q65" s="10" t="n"/>
    </row>
    <row r="66">
      <c r="A66" s="11" t="n"/>
      <c r="B66" s="10" t="n"/>
      <c r="C66" s="10" t="n"/>
      <c r="D66" s="14" t="n"/>
      <c r="E66" s="10" t="n"/>
      <c r="F66" s="20">
        <f>IF(OR(A66="",B66=""),"",IF(OR(NOT(ISNUMBER(A66)),ISERROR(N66+O66+P66)),"Проверьте даты",IF(AND(N66&gt;0,P66&gt;1),"Дубль",IF(AND(N66&gt;0,O66&gt;0),O66,"Вне аренды"))))</f>
        <v/>
      </c>
      <c r="G66" s="12">
        <f>IF(ISNUMBER(F66),IFERROR(INDEX(Брони!$C$2:$C$500,MATCH(F66,Брони!$A$2:$A$500,0)),""),"")</f>
        <v/>
      </c>
      <c r="H66" s="10" t="n"/>
      <c r="I66" s="18" t="n"/>
      <c r="J66" s="12">
        <f>IF(AND(ISNUMBER(F66),I66&lt;&gt;""),IFERROR(IF(AND(INDEX(Брони!$F$2:$F$500,MATCH(F66,Брони!$A$2:$A$500,0))="Возвращена",I66&gt;INDEX(Брони!$E$2:$E$500,MATCH(F66,Брони!$A$2:$A$500,0))),"Да",""),""),"")</f>
        <v/>
      </c>
      <c r="K66" s="10" t="n"/>
      <c r="L66" s="14" t="n"/>
      <c r="M66" s="15">
        <f>IF(OR(A66="",B66=""),"",IF(AND(ISNUMBER(F66),H66&lt;&gt;"Компания"),D66+L66,0))</f>
        <v/>
      </c>
      <c r="N66" s="21">
        <f>SUMPRODUCT(MAX((Брони!$B$2:$B$500=B66)*((Брони!$F$2:$F$500="Выдана")+(Брони!$F$2:$F$500="Возвращена"))*(Брони!$D$2:$D$500&lt;=A66)*Брони!$D$2:$D$500))</f>
        <v/>
      </c>
      <c r="O66" s="19">
        <f>SUMPRODUCT((Брони!$B$2:$B$500=B66)*(Брони!$D$2:$D$500=N66)*((((Брони!$F$2:$F$500="Выдана")*NOW())+((Брони!$F$2:$F$500="Возвращена")*Брони!$E$2:$E$500))&gt;=A66)*Брони!$A$2:$A$500)</f>
        <v/>
      </c>
      <c r="P66" s="19">
        <f>SUMPRODUCT((Брони!$B$2:$B$500=B66)*(Брони!$D$2:$D$500=N66)*(((Брони!$F$2:$F$500="Выдана")+(Брони!$F$2:$F$500="Возвращена"))))</f>
        <v/>
      </c>
      <c r="Q66" s="10" t="n"/>
    </row>
    <row r="67">
      <c r="A67" s="11" t="n"/>
      <c r="B67" s="10" t="n"/>
      <c r="C67" s="10" t="n"/>
      <c r="D67" s="14" t="n"/>
      <c r="E67" s="10" t="n"/>
      <c r="F67" s="20">
        <f>IF(OR(A67="",B67=""),"",IF(OR(NOT(ISNUMBER(A67)),ISERROR(N67+O67+P67)),"Проверьте даты",IF(AND(N67&gt;0,P67&gt;1),"Дубль",IF(AND(N67&gt;0,O67&gt;0),O67,"Вне аренды"))))</f>
        <v/>
      </c>
      <c r="G67" s="12">
        <f>IF(ISNUMBER(F67),IFERROR(INDEX(Брони!$C$2:$C$500,MATCH(F67,Брони!$A$2:$A$500,0)),""),"")</f>
        <v/>
      </c>
      <c r="H67" s="10" t="n"/>
      <c r="I67" s="18" t="n"/>
      <c r="J67" s="12">
        <f>IF(AND(ISNUMBER(F67),I67&lt;&gt;""),IFERROR(IF(AND(INDEX(Брони!$F$2:$F$500,MATCH(F67,Брони!$A$2:$A$500,0))="Возвращена",I67&gt;INDEX(Брони!$E$2:$E$500,MATCH(F67,Брони!$A$2:$A$500,0))),"Да",""),""),"")</f>
        <v/>
      </c>
      <c r="K67" s="10" t="n"/>
      <c r="L67" s="14" t="n"/>
      <c r="M67" s="15">
        <f>IF(OR(A67="",B67=""),"",IF(AND(ISNUMBER(F67),H67&lt;&gt;"Компания"),D67+L67,0))</f>
        <v/>
      </c>
      <c r="N67" s="21">
        <f>SUMPRODUCT(MAX((Брони!$B$2:$B$500=B67)*((Брони!$F$2:$F$500="Выдана")+(Брони!$F$2:$F$500="Возвращена"))*(Брони!$D$2:$D$500&lt;=A67)*Брони!$D$2:$D$500))</f>
        <v/>
      </c>
      <c r="O67" s="19">
        <f>SUMPRODUCT((Брони!$B$2:$B$500=B67)*(Брони!$D$2:$D$500=N67)*((((Брони!$F$2:$F$500="Выдана")*NOW())+((Брони!$F$2:$F$500="Возвращена")*Брони!$E$2:$E$500))&gt;=A67)*Брони!$A$2:$A$500)</f>
        <v/>
      </c>
      <c r="P67" s="19">
        <f>SUMPRODUCT((Брони!$B$2:$B$500=B67)*(Брони!$D$2:$D$500=N67)*(((Брони!$F$2:$F$500="Выдана")+(Брони!$F$2:$F$500="Возвращена"))))</f>
        <v/>
      </c>
      <c r="Q67" s="10" t="n"/>
    </row>
    <row r="68">
      <c r="A68" s="11" t="n"/>
      <c r="B68" s="10" t="n"/>
      <c r="C68" s="10" t="n"/>
      <c r="D68" s="14" t="n"/>
      <c r="E68" s="10" t="n"/>
      <c r="F68" s="20">
        <f>IF(OR(A68="",B68=""),"",IF(OR(NOT(ISNUMBER(A68)),ISERROR(N68+O68+P68)),"Проверьте даты",IF(AND(N68&gt;0,P68&gt;1),"Дубль",IF(AND(N68&gt;0,O68&gt;0),O68,"Вне аренды"))))</f>
        <v/>
      </c>
      <c r="G68" s="12">
        <f>IF(ISNUMBER(F68),IFERROR(INDEX(Брони!$C$2:$C$500,MATCH(F68,Брони!$A$2:$A$500,0)),""),"")</f>
        <v/>
      </c>
      <c r="H68" s="10" t="n"/>
      <c r="I68" s="18" t="n"/>
      <c r="J68" s="12">
        <f>IF(AND(ISNUMBER(F68),I68&lt;&gt;""),IFERROR(IF(AND(INDEX(Брони!$F$2:$F$500,MATCH(F68,Брони!$A$2:$A$500,0))="Возвращена",I68&gt;INDEX(Брони!$E$2:$E$500,MATCH(F68,Брони!$A$2:$A$500,0))),"Да",""),""),"")</f>
        <v/>
      </c>
      <c r="K68" s="10" t="n"/>
      <c r="L68" s="14" t="n"/>
      <c r="M68" s="15">
        <f>IF(OR(A68="",B68=""),"",IF(AND(ISNUMBER(F68),H68&lt;&gt;"Компания"),D68+L68,0))</f>
        <v/>
      </c>
      <c r="N68" s="21">
        <f>SUMPRODUCT(MAX((Брони!$B$2:$B$500=B68)*((Брони!$F$2:$F$500="Выдана")+(Брони!$F$2:$F$500="Возвращена"))*(Брони!$D$2:$D$500&lt;=A68)*Брони!$D$2:$D$500))</f>
        <v/>
      </c>
      <c r="O68" s="19">
        <f>SUMPRODUCT((Брони!$B$2:$B$500=B68)*(Брони!$D$2:$D$500=N68)*((((Брони!$F$2:$F$500="Выдана")*NOW())+((Брони!$F$2:$F$500="Возвращена")*Брони!$E$2:$E$500))&gt;=A68)*Брони!$A$2:$A$500)</f>
        <v/>
      </c>
      <c r="P68" s="19">
        <f>SUMPRODUCT((Брони!$B$2:$B$500=B68)*(Брони!$D$2:$D$500=N68)*(((Брони!$F$2:$F$500="Выдана")+(Брони!$F$2:$F$500="Возвращена"))))</f>
        <v/>
      </c>
      <c r="Q68" s="10" t="n"/>
    </row>
    <row r="69">
      <c r="A69" s="11" t="n"/>
      <c r="B69" s="10" t="n"/>
      <c r="C69" s="10" t="n"/>
      <c r="D69" s="14" t="n"/>
      <c r="E69" s="10" t="n"/>
      <c r="F69" s="20">
        <f>IF(OR(A69="",B69=""),"",IF(OR(NOT(ISNUMBER(A69)),ISERROR(N69+O69+P69)),"Проверьте даты",IF(AND(N69&gt;0,P69&gt;1),"Дубль",IF(AND(N69&gt;0,O69&gt;0),O69,"Вне аренды"))))</f>
        <v/>
      </c>
      <c r="G69" s="12">
        <f>IF(ISNUMBER(F69),IFERROR(INDEX(Брони!$C$2:$C$500,MATCH(F69,Брони!$A$2:$A$500,0)),""),"")</f>
        <v/>
      </c>
      <c r="H69" s="10" t="n"/>
      <c r="I69" s="18" t="n"/>
      <c r="J69" s="12">
        <f>IF(AND(ISNUMBER(F69),I69&lt;&gt;""),IFERROR(IF(AND(INDEX(Брони!$F$2:$F$500,MATCH(F69,Брони!$A$2:$A$500,0))="Возвращена",I69&gt;INDEX(Брони!$E$2:$E$500,MATCH(F69,Брони!$A$2:$A$500,0))),"Да",""),""),"")</f>
        <v/>
      </c>
      <c r="K69" s="10" t="n"/>
      <c r="L69" s="14" t="n"/>
      <c r="M69" s="15">
        <f>IF(OR(A69="",B69=""),"",IF(AND(ISNUMBER(F69),H69&lt;&gt;"Компания"),D69+L69,0))</f>
        <v/>
      </c>
      <c r="N69" s="21">
        <f>SUMPRODUCT(MAX((Брони!$B$2:$B$500=B69)*((Брони!$F$2:$F$500="Выдана")+(Брони!$F$2:$F$500="Возвращена"))*(Брони!$D$2:$D$500&lt;=A69)*Брони!$D$2:$D$500))</f>
        <v/>
      </c>
      <c r="O69" s="19">
        <f>SUMPRODUCT((Брони!$B$2:$B$500=B69)*(Брони!$D$2:$D$500=N69)*((((Брони!$F$2:$F$500="Выдана")*NOW())+((Брони!$F$2:$F$500="Возвращена")*Брони!$E$2:$E$500))&gt;=A69)*Брони!$A$2:$A$500)</f>
        <v/>
      </c>
      <c r="P69" s="19">
        <f>SUMPRODUCT((Брони!$B$2:$B$500=B69)*(Брони!$D$2:$D$500=N69)*(((Брони!$F$2:$F$500="Выдана")+(Брони!$F$2:$F$500="Возвращена"))))</f>
        <v/>
      </c>
      <c r="Q69" s="10" t="n"/>
    </row>
    <row r="70">
      <c r="A70" s="11" t="n"/>
      <c r="B70" s="10" t="n"/>
      <c r="C70" s="10" t="n"/>
      <c r="D70" s="14" t="n"/>
      <c r="E70" s="10" t="n"/>
      <c r="F70" s="20">
        <f>IF(OR(A70="",B70=""),"",IF(OR(NOT(ISNUMBER(A70)),ISERROR(N70+O70+P70)),"Проверьте даты",IF(AND(N70&gt;0,P70&gt;1),"Дубль",IF(AND(N70&gt;0,O70&gt;0),O70,"Вне аренды"))))</f>
        <v/>
      </c>
      <c r="G70" s="12">
        <f>IF(ISNUMBER(F70),IFERROR(INDEX(Брони!$C$2:$C$500,MATCH(F70,Брони!$A$2:$A$500,0)),""),"")</f>
        <v/>
      </c>
      <c r="H70" s="10" t="n"/>
      <c r="I70" s="18" t="n"/>
      <c r="J70" s="12">
        <f>IF(AND(ISNUMBER(F70),I70&lt;&gt;""),IFERROR(IF(AND(INDEX(Брони!$F$2:$F$500,MATCH(F70,Брони!$A$2:$A$500,0))="Возвращена",I70&gt;INDEX(Брони!$E$2:$E$500,MATCH(F70,Брони!$A$2:$A$500,0))),"Да",""),""),"")</f>
        <v/>
      </c>
      <c r="K70" s="10" t="n"/>
      <c r="L70" s="14" t="n"/>
      <c r="M70" s="15">
        <f>IF(OR(A70="",B70=""),"",IF(AND(ISNUMBER(F70),H70&lt;&gt;"Компания"),D70+L70,0))</f>
        <v/>
      </c>
      <c r="N70" s="21">
        <f>SUMPRODUCT(MAX((Брони!$B$2:$B$500=B70)*((Брони!$F$2:$F$500="Выдана")+(Брони!$F$2:$F$500="Возвращена"))*(Брони!$D$2:$D$500&lt;=A70)*Брони!$D$2:$D$500))</f>
        <v/>
      </c>
      <c r="O70" s="19">
        <f>SUMPRODUCT((Брони!$B$2:$B$500=B70)*(Брони!$D$2:$D$500=N70)*((((Брони!$F$2:$F$500="Выдана")*NOW())+((Брони!$F$2:$F$500="Возвращена")*Брони!$E$2:$E$500))&gt;=A70)*Брони!$A$2:$A$500)</f>
        <v/>
      </c>
      <c r="P70" s="19">
        <f>SUMPRODUCT((Брони!$B$2:$B$500=B70)*(Брони!$D$2:$D$500=N70)*(((Брони!$F$2:$F$500="Выдана")+(Брони!$F$2:$F$500="Возвращена"))))</f>
        <v/>
      </c>
      <c r="Q70" s="10" t="n"/>
    </row>
    <row r="71">
      <c r="A71" s="11" t="n"/>
      <c r="B71" s="10" t="n"/>
      <c r="C71" s="10" t="n"/>
      <c r="D71" s="14" t="n"/>
      <c r="E71" s="10" t="n"/>
      <c r="F71" s="20">
        <f>IF(OR(A71="",B71=""),"",IF(OR(NOT(ISNUMBER(A71)),ISERROR(N71+O71+P71)),"Проверьте даты",IF(AND(N71&gt;0,P71&gt;1),"Дубль",IF(AND(N71&gt;0,O71&gt;0),O71,"Вне аренды"))))</f>
        <v/>
      </c>
      <c r="G71" s="12">
        <f>IF(ISNUMBER(F71),IFERROR(INDEX(Брони!$C$2:$C$500,MATCH(F71,Брони!$A$2:$A$500,0)),""),"")</f>
        <v/>
      </c>
      <c r="H71" s="10" t="n"/>
      <c r="I71" s="18" t="n"/>
      <c r="J71" s="12">
        <f>IF(AND(ISNUMBER(F71),I71&lt;&gt;""),IFERROR(IF(AND(INDEX(Брони!$F$2:$F$500,MATCH(F71,Брони!$A$2:$A$500,0))="Возвращена",I71&gt;INDEX(Брони!$E$2:$E$500,MATCH(F71,Брони!$A$2:$A$500,0))),"Да",""),""),"")</f>
        <v/>
      </c>
      <c r="K71" s="10" t="n"/>
      <c r="L71" s="14" t="n"/>
      <c r="M71" s="15">
        <f>IF(OR(A71="",B71=""),"",IF(AND(ISNUMBER(F71),H71&lt;&gt;"Компания"),D71+L71,0))</f>
        <v/>
      </c>
      <c r="N71" s="21">
        <f>SUMPRODUCT(MAX((Брони!$B$2:$B$500=B71)*((Брони!$F$2:$F$500="Выдана")+(Брони!$F$2:$F$500="Возвращена"))*(Брони!$D$2:$D$500&lt;=A71)*Брони!$D$2:$D$500))</f>
        <v/>
      </c>
      <c r="O71" s="19">
        <f>SUMPRODUCT((Брони!$B$2:$B$500=B71)*(Брони!$D$2:$D$500=N71)*((((Брони!$F$2:$F$500="Выдана")*NOW())+((Брони!$F$2:$F$500="Возвращена")*Брони!$E$2:$E$500))&gt;=A71)*Брони!$A$2:$A$500)</f>
        <v/>
      </c>
      <c r="P71" s="19">
        <f>SUMPRODUCT((Брони!$B$2:$B$500=B71)*(Брони!$D$2:$D$500=N71)*(((Брони!$F$2:$F$500="Выдана")+(Брони!$F$2:$F$500="Возвращена"))))</f>
        <v/>
      </c>
      <c r="Q71" s="10" t="n"/>
    </row>
    <row r="72">
      <c r="A72" s="11" t="n"/>
      <c r="B72" s="10" t="n"/>
      <c r="C72" s="10" t="n"/>
      <c r="D72" s="14" t="n"/>
      <c r="E72" s="10" t="n"/>
      <c r="F72" s="20">
        <f>IF(OR(A72="",B72=""),"",IF(OR(NOT(ISNUMBER(A72)),ISERROR(N72+O72+P72)),"Проверьте даты",IF(AND(N72&gt;0,P72&gt;1),"Дубль",IF(AND(N72&gt;0,O72&gt;0),O72,"Вне аренды"))))</f>
        <v/>
      </c>
      <c r="G72" s="12">
        <f>IF(ISNUMBER(F72),IFERROR(INDEX(Брони!$C$2:$C$500,MATCH(F72,Брони!$A$2:$A$500,0)),""),"")</f>
        <v/>
      </c>
      <c r="H72" s="10" t="n"/>
      <c r="I72" s="18" t="n"/>
      <c r="J72" s="12">
        <f>IF(AND(ISNUMBER(F72),I72&lt;&gt;""),IFERROR(IF(AND(INDEX(Брони!$F$2:$F$500,MATCH(F72,Брони!$A$2:$A$500,0))="Возвращена",I72&gt;INDEX(Брони!$E$2:$E$500,MATCH(F72,Брони!$A$2:$A$500,0))),"Да",""),""),"")</f>
        <v/>
      </c>
      <c r="K72" s="10" t="n"/>
      <c r="L72" s="14" t="n"/>
      <c r="M72" s="15">
        <f>IF(OR(A72="",B72=""),"",IF(AND(ISNUMBER(F72),H72&lt;&gt;"Компания"),D72+L72,0))</f>
        <v/>
      </c>
      <c r="N72" s="21">
        <f>SUMPRODUCT(MAX((Брони!$B$2:$B$500=B72)*((Брони!$F$2:$F$500="Выдана")+(Брони!$F$2:$F$500="Возвращена"))*(Брони!$D$2:$D$500&lt;=A72)*Брони!$D$2:$D$500))</f>
        <v/>
      </c>
      <c r="O72" s="19">
        <f>SUMPRODUCT((Брони!$B$2:$B$500=B72)*(Брони!$D$2:$D$500=N72)*((((Брони!$F$2:$F$500="Выдана")*NOW())+((Брони!$F$2:$F$500="Возвращена")*Брони!$E$2:$E$500))&gt;=A72)*Брони!$A$2:$A$500)</f>
        <v/>
      </c>
      <c r="P72" s="19">
        <f>SUMPRODUCT((Брони!$B$2:$B$500=B72)*(Брони!$D$2:$D$500=N72)*(((Брони!$F$2:$F$500="Выдана")+(Брони!$F$2:$F$500="Возвращена"))))</f>
        <v/>
      </c>
      <c r="Q72" s="10" t="n"/>
    </row>
    <row r="73">
      <c r="A73" s="11" t="n"/>
      <c r="B73" s="10" t="n"/>
      <c r="C73" s="10" t="n"/>
      <c r="D73" s="14" t="n"/>
      <c r="E73" s="10" t="n"/>
      <c r="F73" s="20">
        <f>IF(OR(A73="",B73=""),"",IF(OR(NOT(ISNUMBER(A73)),ISERROR(N73+O73+P73)),"Проверьте даты",IF(AND(N73&gt;0,P73&gt;1),"Дубль",IF(AND(N73&gt;0,O73&gt;0),O73,"Вне аренды"))))</f>
        <v/>
      </c>
      <c r="G73" s="12">
        <f>IF(ISNUMBER(F73),IFERROR(INDEX(Брони!$C$2:$C$500,MATCH(F73,Брони!$A$2:$A$500,0)),""),"")</f>
        <v/>
      </c>
      <c r="H73" s="10" t="n"/>
      <c r="I73" s="18" t="n"/>
      <c r="J73" s="12">
        <f>IF(AND(ISNUMBER(F73),I73&lt;&gt;""),IFERROR(IF(AND(INDEX(Брони!$F$2:$F$500,MATCH(F73,Брони!$A$2:$A$500,0))="Возвращена",I73&gt;INDEX(Брони!$E$2:$E$500,MATCH(F73,Брони!$A$2:$A$500,0))),"Да",""),""),"")</f>
        <v/>
      </c>
      <c r="K73" s="10" t="n"/>
      <c r="L73" s="14" t="n"/>
      <c r="M73" s="15">
        <f>IF(OR(A73="",B73=""),"",IF(AND(ISNUMBER(F73),H73&lt;&gt;"Компания"),D73+L73,0))</f>
        <v/>
      </c>
      <c r="N73" s="21">
        <f>SUMPRODUCT(MAX((Брони!$B$2:$B$500=B73)*((Брони!$F$2:$F$500="Выдана")+(Брони!$F$2:$F$500="Возвращена"))*(Брони!$D$2:$D$500&lt;=A73)*Брони!$D$2:$D$500))</f>
        <v/>
      </c>
      <c r="O73" s="19">
        <f>SUMPRODUCT((Брони!$B$2:$B$500=B73)*(Брони!$D$2:$D$500=N73)*((((Брони!$F$2:$F$500="Выдана")*NOW())+((Брони!$F$2:$F$500="Возвращена")*Брони!$E$2:$E$500))&gt;=A73)*Брони!$A$2:$A$500)</f>
        <v/>
      </c>
      <c r="P73" s="19">
        <f>SUMPRODUCT((Брони!$B$2:$B$500=B73)*(Брони!$D$2:$D$500=N73)*(((Брони!$F$2:$F$500="Выдана")+(Брони!$F$2:$F$500="Возвращена"))))</f>
        <v/>
      </c>
      <c r="Q73" s="10" t="n"/>
    </row>
    <row r="74">
      <c r="A74" s="11" t="n"/>
      <c r="B74" s="10" t="n"/>
      <c r="C74" s="10" t="n"/>
      <c r="D74" s="14" t="n"/>
      <c r="E74" s="10" t="n"/>
      <c r="F74" s="20">
        <f>IF(OR(A74="",B74=""),"",IF(OR(NOT(ISNUMBER(A74)),ISERROR(N74+O74+P74)),"Проверьте даты",IF(AND(N74&gt;0,P74&gt;1),"Дубль",IF(AND(N74&gt;0,O74&gt;0),O74,"Вне аренды"))))</f>
        <v/>
      </c>
      <c r="G74" s="12">
        <f>IF(ISNUMBER(F74),IFERROR(INDEX(Брони!$C$2:$C$500,MATCH(F74,Брони!$A$2:$A$500,0)),""),"")</f>
        <v/>
      </c>
      <c r="H74" s="10" t="n"/>
      <c r="I74" s="18" t="n"/>
      <c r="J74" s="12">
        <f>IF(AND(ISNUMBER(F74),I74&lt;&gt;""),IFERROR(IF(AND(INDEX(Брони!$F$2:$F$500,MATCH(F74,Брони!$A$2:$A$500,0))="Возвращена",I74&gt;INDEX(Брони!$E$2:$E$500,MATCH(F74,Брони!$A$2:$A$500,0))),"Да",""),""),"")</f>
        <v/>
      </c>
      <c r="K74" s="10" t="n"/>
      <c r="L74" s="14" t="n"/>
      <c r="M74" s="15">
        <f>IF(OR(A74="",B74=""),"",IF(AND(ISNUMBER(F74),H74&lt;&gt;"Компания"),D74+L74,0))</f>
        <v/>
      </c>
      <c r="N74" s="21">
        <f>SUMPRODUCT(MAX((Брони!$B$2:$B$500=B74)*((Брони!$F$2:$F$500="Выдана")+(Брони!$F$2:$F$500="Возвращена"))*(Брони!$D$2:$D$500&lt;=A74)*Брони!$D$2:$D$500))</f>
        <v/>
      </c>
      <c r="O74" s="19">
        <f>SUMPRODUCT((Брони!$B$2:$B$500=B74)*(Брони!$D$2:$D$500=N74)*((((Брони!$F$2:$F$500="Выдана")*NOW())+((Брони!$F$2:$F$500="Возвращена")*Брони!$E$2:$E$500))&gt;=A74)*Брони!$A$2:$A$500)</f>
        <v/>
      </c>
      <c r="P74" s="19">
        <f>SUMPRODUCT((Брони!$B$2:$B$500=B74)*(Брони!$D$2:$D$500=N74)*(((Брони!$F$2:$F$500="Выдана")+(Брони!$F$2:$F$500="Возвращена"))))</f>
        <v/>
      </c>
      <c r="Q74" s="10" t="n"/>
    </row>
    <row r="75">
      <c r="A75" s="11" t="n"/>
      <c r="B75" s="10" t="n"/>
      <c r="C75" s="10" t="n"/>
      <c r="D75" s="14" t="n"/>
      <c r="E75" s="10" t="n"/>
      <c r="F75" s="20">
        <f>IF(OR(A75="",B75=""),"",IF(OR(NOT(ISNUMBER(A75)),ISERROR(N75+O75+P75)),"Проверьте даты",IF(AND(N75&gt;0,P75&gt;1),"Дубль",IF(AND(N75&gt;0,O75&gt;0),O75,"Вне аренды"))))</f>
        <v/>
      </c>
      <c r="G75" s="12">
        <f>IF(ISNUMBER(F75),IFERROR(INDEX(Брони!$C$2:$C$500,MATCH(F75,Брони!$A$2:$A$500,0)),""),"")</f>
        <v/>
      </c>
      <c r="H75" s="10" t="n"/>
      <c r="I75" s="18" t="n"/>
      <c r="J75" s="12">
        <f>IF(AND(ISNUMBER(F75),I75&lt;&gt;""),IFERROR(IF(AND(INDEX(Брони!$F$2:$F$500,MATCH(F75,Брони!$A$2:$A$500,0))="Возвращена",I75&gt;INDEX(Брони!$E$2:$E$500,MATCH(F75,Брони!$A$2:$A$500,0))),"Да",""),""),"")</f>
        <v/>
      </c>
      <c r="K75" s="10" t="n"/>
      <c r="L75" s="14" t="n"/>
      <c r="M75" s="15">
        <f>IF(OR(A75="",B75=""),"",IF(AND(ISNUMBER(F75),H75&lt;&gt;"Компания"),D75+L75,0))</f>
        <v/>
      </c>
      <c r="N75" s="21">
        <f>SUMPRODUCT(MAX((Брони!$B$2:$B$500=B75)*((Брони!$F$2:$F$500="Выдана")+(Брони!$F$2:$F$500="Возвращена"))*(Брони!$D$2:$D$500&lt;=A75)*Брони!$D$2:$D$500))</f>
        <v/>
      </c>
      <c r="O75" s="19">
        <f>SUMPRODUCT((Брони!$B$2:$B$500=B75)*(Брони!$D$2:$D$500=N75)*((((Брони!$F$2:$F$500="Выдана")*NOW())+((Брони!$F$2:$F$500="Возвращена")*Брони!$E$2:$E$500))&gt;=A75)*Брони!$A$2:$A$500)</f>
        <v/>
      </c>
      <c r="P75" s="19">
        <f>SUMPRODUCT((Брони!$B$2:$B$500=B75)*(Брони!$D$2:$D$500=N75)*(((Брони!$F$2:$F$500="Выдана")+(Брони!$F$2:$F$500="Возвращена"))))</f>
        <v/>
      </c>
      <c r="Q75" s="10" t="n"/>
    </row>
    <row r="76">
      <c r="A76" s="11" t="n"/>
      <c r="B76" s="10" t="n"/>
      <c r="C76" s="10" t="n"/>
      <c r="D76" s="14" t="n"/>
      <c r="E76" s="10" t="n"/>
      <c r="F76" s="20">
        <f>IF(OR(A76="",B76=""),"",IF(OR(NOT(ISNUMBER(A76)),ISERROR(N76+O76+P76)),"Проверьте даты",IF(AND(N76&gt;0,P76&gt;1),"Дубль",IF(AND(N76&gt;0,O76&gt;0),O76,"Вне аренды"))))</f>
        <v/>
      </c>
      <c r="G76" s="12">
        <f>IF(ISNUMBER(F76),IFERROR(INDEX(Брони!$C$2:$C$500,MATCH(F76,Брони!$A$2:$A$500,0)),""),"")</f>
        <v/>
      </c>
      <c r="H76" s="10" t="n"/>
      <c r="I76" s="18" t="n"/>
      <c r="J76" s="12">
        <f>IF(AND(ISNUMBER(F76),I76&lt;&gt;""),IFERROR(IF(AND(INDEX(Брони!$F$2:$F$500,MATCH(F76,Брони!$A$2:$A$500,0))="Возвращена",I76&gt;INDEX(Брони!$E$2:$E$500,MATCH(F76,Брони!$A$2:$A$500,0))),"Да",""),""),"")</f>
        <v/>
      </c>
      <c r="K76" s="10" t="n"/>
      <c r="L76" s="14" t="n"/>
      <c r="M76" s="15">
        <f>IF(OR(A76="",B76=""),"",IF(AND(ISNUMBER(F76),H76&lt;&gt;"Компания"),D76+L76,0))</f>
        <v/>
      </c>
      <c r="N76" s="21">
        <f>SUMPRODUCT(MAX((Брони!$B$2:$B$500=B76)*((Брони!$F$2:$F$500="Выдана")+(Брони!$F$2:$F$500="Возвращена"))*(Брони!$D$2:$D$500&lt;=A76)*Брони!$D$2:$D$500))</f>
        <v/>
      </c>
      <c r="O76" s="19">
        <f>SUMPRODUCT((Брони!$B$2:$B$500=B76)*(Брони!$D$2:$D$500=N76)*((((Брони!$F$2:$F$500="Выдана")*NOW())+((Брони!$F$2:$F$500="Возвращена")*Брони!$E$2:$E$500))&gt;=A76)*Брони!$A$2:$A$500)</f>
        <v/>
      </c>
      <c r="P76" s="19">
        <f>SUMPRODUCT((Брони!$B$2:$B$500=B76)*(Брони!$D$2:$D$500=N76)*(((Брони!$F$2:$F$500="Выдана")+(Брони!$F$2:$F$500="Возвращена"))))</f>
        <v/>
      </c>
      <c r="Q76" s="10" t="n"/>
    </row>
    <row r="77">
      <c r="A77" s="11" t="n"/>
      <c r="B77" s="10" t="n"/>
      <c r="C77" s="10" t="n"/>
      <c r="D77" s="14" t="n"/>
      <c r="E77" s="10" t="n"/>
      <c r="F77" s="20">
        <f>IF(OR(A77="",B77=""),"",IF(OR(NOT(ISNUMBER(A77)),ISERROR(N77+O77+P77)),"Проверьте даты",IF(AND(N77&gt;0,P77&gt;1),"Дубль",IF(AND(N77&gt;0,O77&gt;0),O77,"Вне аренды"))))</f>
        <v/>
      </c>
      <c r="G77" s="12">
        <f>IF(ISNUMBER(F77),IFERROR(INDEX(Брони!$C$2:$C$500,MATCH(F77,Брони!$A$2:$A$500,0)),""),"")</f>
        <v/>
      </c>
      <c r="H77" s="10" t="n"/>
      <c r="I77" s="18" t="n"/>
      <c r="J77" s="12">
        <f>IF(AND(ISNUMBER(F77),I77&lt;&gt;""),IFERROR(IF(AND(INDEX(Брони!$F$2:$F$500,MATCH(F77,Брони!$A$2:$A$500,0))="Возвращена",I77&gt;INDEX(Брони!$E$2:$E$500,MATCH(F77,Брони!$A$2:$A$500,0))),"Да",""),""),"")</f>
        <v/>
      </c>
      <c r="K77" s="10" t="n"/>
      <c r="L77" s="14" t="n"/>
      <c r="M77" s="15">
        <f>IF(OR(A77="",B77=""),"",IF(AND(ISNUMBER(F77),H77&lt;&gt;"Компания"),D77+L77,0))</f>
        <v/>
      </c>
      <c r="N77" s="21">
        <f>SUMPRODUCT(MAX((Брони!$B$2:$B$500=B77)*((Брони!$F$2:$F$500="Выдана")+(Брони!$F$2:$F$500="Возвращена"))*(Брони!$D$2:$D$500&lt;=A77)*Брони!$D$2:$D$500))</f>
        <v/>
      </c>
      <c r="O77" s="19">
        <f>SUMPRODUCT((Брони!$B$2:$B$500=B77)*(Брони!$D$2:$D$500=N77)*((((Брони!$F$2:$F$500="Выдана")*NOW())+((Брони!$F$2:$F$500="Возвращена")*Брони!$E$2:$E$500))&gt;=A77)*Брони!$A$2:$A$500)</f>
        <v/>
      </c>
      <c r="P77" s="19">
        <f>SUMPRODUCT((Брони!$B$2:$B$500=B77)*(Брони!$D$2:$D$500=N77)*(((Брони!$F$2:$F$500="Выдана")+(Брони!$F$2:$F$500="Возвращена"))))</f>
        <v/>
      </c>
      <c r="Q77" s="10" t="n"/>
    </row>
    <row r="78">
      <c r="A78" s="11" t="n"/>
      <c r="B78" s="10" t="n"/>
      <c r="C78" s="10" t="n"/>
      <c r="D78" s="14" t="n"/>
      <c r="E78" s="10" t="n"/>
      <c r="F78" s="20">
        <f>IF(OR(A78="",B78=""),"",IF(OR(NOT(ISNUMBER(A78)),ISERROR(N78+O78+P78)),"Проверьте даты",IF(AND(N78&gt;0,P78&gt;1),"Дубль",IF(AND(N78&gt;0,O78&gt;0),O78,"Вне аренды"))))</f>
        <v/>
      </c>
      <c r="G78" s="12">
        <f>IF(ISNUMBER(F78),IFERROR(INDEX(Брони!$C$2:$C$500,MATCH(F78,Брони!$A$2:$A$500,0)),""),"")</f>
        <v/>
      </c>
      <c r="H78" s="10" t="n"/>
      <c r="I78" s="18" t="n"/>
      <c r="J78" s="12">
        <f>IF(AND(ISNUMBER(F78),I78&lt;&gt;""),IFERROR(IF(AND(INDEX(Брони!$F$2:$F$500,MATCH(F78,Брони!$A$2:$A$500,0))="Возвращена",I78&gt;INDEX(Брони!$E$2:$E$500,MATCH(F78,Брони!$A$2:$A$500,0))),"Да",""),""),"")</f>
        <v/>
      </c>
      <c r="K78" s="10" t="n"/>
      <c r="L78" s="14" t="n"/>
      <c r="M78" s="15">
        <f>IF(OR(A78="",B78=""),"",IF(AND(ISNUMBER(F78),H78&lt;&gt;"Компания"),D78+L78,0))</f>
        <v/>
      </c>
      <c r="N78" s="21">
        <f>SUMPRODUCT(MAX((Брони!$B$2:$B$500=B78)*((Брони!$F$2:$F$500="Выдана")+(Брони!$F$2:$F$500="Возвращена"))*(Брони!$D$2:$D$500&lt;=A78)*Брони!$D$2:$D$500))</f>
        <v/>
      </c>
      <c r="O78" s="19">
        <f>SUMPRODUCT((Брони!$B$2:$B$500=B78)*(Брони!$D$2:$D$500=N78)*((((Брони!$F$2:$F$500="Выдана")*NOW())+((Брони!$F$2:$F$500="Возвращена")*Брони!$E$2:$E$500))&gt;=A78)*Брони!$A$2:$A$500)</f>
        <v/>
      </c>
      <c r="P78" s="19">
        <f>SUMPRODUCT((Брони!$B$2:$B$500=B78)*(Брони!$D$2:$D$500=N78)*(((Брони!$F$2:$F$500="Выдана")+(Брони!$F$2:$F$500="Возвращена"))))</f>
        <v/>
      </c>
      <c r="Q78" s="10" t="n"/>
    </row>
    <row r="79">
      <c r="A79" s="11" t="n"/>
      <c r="B79" s="10" t="n"/>
      <c r="C79" s="10" t="n"/>
      <c r="D79" s="14" t="n"/>
      <c r="E79" s="10" t="n"/>
      <c r="F79" s="20">
        <f>IF(OR(A79="",B79=""),"",IF(OR(NOT(ISNUMBER(A79)),ISERROR(N79+O79+P79)),"Проверьте даты",IF(AND(N79&gt;0,P79&gt;1),"Дубль",IF(AND(N79&gt;0,O79&gt;0),O79,"Вне аренды"))))</f>
        <v/>
      </c>
      <c r="G79" s="12">
        <f>IF(ISNUMBER(F79),IFERROR(INDEX(Брони!$C$2:$C$500,MATCH(F79,Брони!$A$2:$A$500,0)),""),"")</f>
        <v/>
      </c>
      <c r="H79" s="10" t="n"/>
      <c r="I79" s="18" t="n"/>
      <c r="J79" s="12">
        <f>IF(AND(ISNUMBER(F79),I79&lt;&gt;""),IFERROR(IF(AND(INDEX(Брони!$F$2:$F$500,MATCH(F79,Брони!$A$2:$A$500,0))="Возвращена",I79&gt;INDEX(Брони!$E$2:$E$500,MATCH(F79,Брони!$A$2:$A$500,0))),"Да",""),""),"")</f>
        <v/>
      </c>
      <c r="K79" s="10" t="n"/>
      <c r="L79" s="14" t="n"/>
      <c r="M79" s="15">
        <f>IF(OR(A79="",B79=""),"",IF(AND(ISNUMBER(F79),H79&lt;&gt;"Компания"),D79+L79,0))</f>
        <v/>
      </c>
      <c r="N79" s="21">
        <f>SUMPRODUCT(MAX((Брони!$B$2:$B$500=B79)*((Брони!$F$2:$F$500="Выдана")+(Брони!$F$2:$F$500="Возвращена"))*(Брони!$D$2:$D$500&lt;=A79)*Брони!$D$2:$D$500))</f>
        <v/>
      </c>
      <c r="O79" s="19">
        <f>SUMPRODUCT((Брони!$B$2:$B$500=B79)*(Брони!$D$2:$D$500=N79)*((((Брони!$F$2:$F$500="Выдана")*NOW())+((Брони!$F$2:$F$500="Возвращена")*Брони!$E$2:$E$500))&gt;=A79)*Брони!$A$2:$A$500)</f>
        <v/>
      </c>
      <c r="P79" s="19">
        <f>SUMPRODUCT((Брони!$B$2:$B$500=B79)*(Брони!$D$2:$D$500=N79)*(((Брони!$F$2:$F$500="Выдана")+(Брони!$F$2:$F$500="Возвращена"))))</f>
        <v/>
      </c>
      <c r="Q79" s="10" t="n"/>
    </row>
    <row r="80">
      <c r="A80" s="11" t="n"/>
      <c r="B80" s="10" t="n"/>
      <c r="C80" s="10" t="n"/>
      <c r="D80" s="14" t="n"/>
      <c r="E80" s="10" t="n"/>
      <c r="F80" s="20">
        <f>IF(OR(A80="",B80=""),"",IF(OR(NOT(ISNUMBER(A80)),ISERROR(N80+O80+P80)),"Проверьте даты",IF(AND(N80&gt;0,P80&gt;1),"Дубль",IF(AND(N80&gt;0,O80&gt;0),O80,"Вне аренды"))))</f>
        <v/>
      </c>
      <c r="G80" s="12">
        <f>IF(ISNUMBER(F80),IFERROR(INDEX(Брони!$C$2:$C$500,MATCH(F80,Брони!$A$2:$A$500,0)),""),"")</f>
        <v/>
      </c>
      <c r="H80" s="10" t="n"/>
      <c r="I80" s="18" t="n"/>
      <c r="J80" s="12">
        <f>IF(AND(ISNUMBER(F80),I80&lt;&gt;""),IFERROR(IF(AND(INDEX(Брони!$F$2:$F$500,MATCH(F80,Брони!$A$2:$A$500,0))="Возвращена",I80&gt;INDEX(Брони!$E$2:$E$500,MATCH(F80,Брони!$A$2:$A$500,0))),"Да",""),""),"")</f>
        <v/>
      </c>
      <c r="K80" s="10" t="n"/>
      <c r="L80" s="14" t="n"/>
      <c r="M80" s="15">
        <f>IF(OR(A80="",B80=""),"",IF(AND(ISNUMBER(F80),H80&lt;&gt;"Компания"),D80+L80,0))</f>
        <v/>
      </c>
      <c r="N80" s="21">
        <f>SUMPRODUCT(MAX((Брони!$B$2:$B$500=B80)*((Брони!$F$2:$F$500="Выдана")+(Брони!$F$2:$F$500="Возвращена"))*(Брони!$D$2:$D$500&lt;=A80)*Брони!$D$2:$D$500))</f>
        <v/>
      </c>
      <c r="O80" s="19">
        <f>SUMPRODUCT((Брони!$B$2:$B$500=B80)*(Брони!$D$2:$D$500=N80)*((((Брони!$F$2:$F$500="Выдана")*NOW())+((Брони!$F$2:$F$500="Возвращена")*Брони!$E$2:$E$500))&gt;=A80)*Брони!$A$2:$A$500)</f>
        <v/>
      </c>
      <c r="P80" s="19">
        <f>SUMPRODUCT((Брони!$B$2:$B$500=B80)*(Брони!$D$2:$D$500=N80)*(((Брони!$F$2:$F$500="Выдана")+(Брони!$F$2:$F$500="Возвращена"))))</f>
        <v/>
      </c>
      <c r="Q80" s="10" t="n"/>
    </row>
    <row r="81">
      <c r="A81" s="11" t="n"/>
      <c r="B81" s="10" t="n"/>
      <c r="C81" s="10" t="n"/>
      <c r="D81" s="14" t="n"/>
      <c r="E81" s="10" t="n"/>
      <c r="F81" s="20">
        <f>IF(OR(A81="",B81=""),"",IF(OR(NOT(ISNUMBER(A81)),ISERROR(N81+O81+P81)),"Проверьте даты",IF(AND(N81&gt;0,P81&gt;1),"Дубль",IF(AND(N81&gt;0,O81&gt;0),O81,"Вне аренды"))))</f>
        <v/>
      </c>
      <c r="G81" s="12">
        <f>IF(ISNUMBER(F81),IFERROR(INDEX(Брони!$C$2:$C$500,MATCH(F81,Брони!$A$2:$A$500,0)),""),"")</f>
        <v/>
      </c>
      <c r="H81" s="10" t="n"/>
      <c r="I81" s="18" t="n"/>
      <c r="J81" s="12">
        <f>IF(AND(ISNUMBER(F81),I81&lt;&gt;""),IFERROR(IF(AND(INDEX(Брони!$F$2:$F$500,MATCH(F81,Брони!$A$2:$A$500,0))="Возвращена",I81&gt;INDEX(Брони!$E$2:$E$500,MATCH(F81,Брони!$A$2:$A$500,0))),"Да",""),""),"")</f>
        <v/>
      </c>
      <c r="K81" s="10" t="n"/>
      <c r="L81" s="14" t="n"/>
      <c r="M81" s="15">
        <f>IF(OR(A81="",B81=""),"",IF(AND(ISNUMBER(F81),H81&lt;&gt;"Компания"),D81+L81,0))</f>
        <v/>
      </c>
      <c r="N81" s="21">
        <f>SUMPRODUCT(MAX((Брони!$B$2:$B$500=B81)*((Брони!$F$2:$F$500="Выдана")+(Брони!$F$2:$F$500="Возвращена"))*(Брони!$D$2:$D$500&lt;=A81)*Брони!$D$2:$D$500))</f>
        <v/>
      </c>
      <c r="O81" s="19">
        <f>SUMPRODUCT((Брони!$B$2:$B$500=B81)*(Брони!$D$2:$D$500=N81)*((((Брони!$F$2:$F$500="Выдана")*NOW())+((Брони!$F$2:$F$500="Возвращена")*Брони!$E$2:$E$500))&gt;=A81)*Брони!$A$2:$A$500)</f>
        <v/>
      </c>
      <c r="P81" s="19">
        <f>SUMPRODUCT((Брони!$B$2:$B$500=B81)*(Брони!$D$2:$D$500=N81)*(((Брони!$F$2:$F$500="Выдана")+(Брони!$F$2:$F$500="Возвращена"))))</f>
        <v/>
      </c>
      <c r="Q81" s="10" t="n"/>
    </row>
    <row r="82">
      <c r="A82" s="11" t="n"/>
      <c r="B82" s="10" t="n"/>
      <c r="C82" s="10" t="n"/>
      <c r="D82" s="14" t="n"/>
      <c r="E82" s="10" t="n"/>
      <c r="F82" s="20">
        <f>IF(OR(A82="",B82=""),"",IF(OR(NOT(ISNUMBER(A82)),ISERROR(N82+O82+P82)),"Проверьте даты",IF(AND(N82&gt;0,P82&gt;1),"Дубль",IF(AND(N82&gt;0,O82&gt;0),O82,"Вне аренды"))))</f>
        <v/>
      </c>
      <c r="G82" s="12">
        <f>IF(ISNUMBER(F82),IFERROR(INDEX(Брони!$C$2:$C$500,MATCH(F82,Брони!$A$2:$A$500,0)),""),"")</f>
        <v/>
      </c>
      <c r="H82" s="10" t="n"/>
      <c r="I82" s="18" t="n"/>
      <c r="J82" s="12">
        <f>IF(AND(ISNUMBER(F82),I82&lt;&gt;""),IFERROR(IF(AND(INDEX(Брони!$F$2:$F$500,MATCH(F82,Брони!$A$2:$A$500,0))="Возвращена",I82&gt;INDEX(Брони!$E$2:$E$500,MATCH(F82,Брони!$A$2:$A$500,0))),"Да",""),""),"")</f>
        <v/>
      </c>
      <c r="K82" s="10" t="n"/>
      <c r="L82" s="14" t="n"/>
      <c r="M82" s="15">
        <f>IF(OR(A82="",B82=""),"",IF(AND(ISNUMBER(F82),H82&lt;&gt;"Компания"),D82+L82,0))</f>
        <v/>
      </c>
      <c r="N82" s="21">
        <f>SUMPRODUCT(MAX((Брони!$B$2:$B$500=B82)*((Брони!$F$2:$F$500="Выдана")+(Брони!$F$2:$F$500="Возвращена"))*(Брони!$D$2:$D$500&lt;=A82)*Брони!$D$2:$D$500))</f>
        <v/>
      </c>
      <c r="O82" s="19">
        <f>SUMPRODUCT((Брони!$B$2:$B$500=B82)*(Брони!$D$2:$D$500=N82)*((((Брони!$F$2:$F$500="Выдана")*NOW())+((Брони!$F$2:$F$500="Возвращена")*Брони!$E$2:$E$500))&gt;=A82)*Брони!$A$2:$A$500)</f>
        <v/>
      </c>
      <c r="P82" s="19">
        <f>SUMPRODUCT((Брони!$B$2:$B$500=B82)*(Брони!$D$2:$D$500=N82)*(((Брони!$F$2:$F$500="Выдана")+(Брони!$F$2:$F$500="Возвращена"))))</f>
        <v/>
      </c>
      <c r="Q82" s="10" t="n"/>
    </row>
    <row r="83">
      <c r="A83" s="11" t="n"/>
      <c r="B83" s="10" t="n"/>
      <c r="C83" s="10" t="n"/>
      <c r="D83" s="14" t="n"/>
      <c r="E83" s="10" t="n"/>
      <c r="F83" s="20">
        <f>IF(OR(A83="",B83=""),"",IF(OR(NOT(ISNUMBER(A83)),ISERROR(N83+O83+P83)),"Проверьте даты",IF(AND(N83&gt;0,P83&gt;1),"Дубль",IF(AND(N83&gt;0,O83&gt;0),O83,"Вне аренды"))))</f>
        <v/>
      </c>
      <c r="G83" s="12">
        <f>IF(ISNUMBER(F83),IFERROR(INDEX(Брони!$C$2:$C$500,MATCH(F83,Брони!$A$2:$A$500,0)),""),"")</f>
        <v/>
      </c>
      <c r="H83" s="10" t="n"/>
      <c r="I83" s="18" t="n"/>
      <c r="J83" s="12">
        <f>IF(AND(ISNUMBER(F83),I83&lt;&gt;""),IFERROR(IF(AND(INDEX(Брони!$F$2:$F$500,MATCH(F83,Брони!$A$2:$A$500,0))="Возвращена",I83&gt;INDEX(Брони!$E$2:$E$500,MATCH(F83,Брони!$A$2:$A$500,0))),"Да",""),""),"")</f>
        <v/>
      </c>
      <c r="K83" s="10" t="n"/>
      <c r="L83" s="14" t="n"/>
      <c r="M83" s="15">
        <f>IF(OR(A83="",B83=""),"",IF(AND(ISNUMBER(F83),H83&lt;&gt;"Компания"),D83+L83,0))</f>
        <v/>
      </c>
      <c r="N83" s="21">
        <f>SUMPRODUCT(MAX((Брони!$B$2:$B$500=B83)*((Брони!$F$2:$F$500="Выдана")+(Брони!$F$2:$F$500="Возвращена"))*(Брони!$D$2:$D$500&lt;=A83)*Брони!$D$2:$D$500))</f>
        <v/>
      </c>
      <c r="O83" s="19">
        <f>SUMPRODUCT((Брони!$B$2:$B$500=B83)*(Брони!$D$2:$D$500=N83)*((((Брони!$F$2:$F$500="Выдана")*NOW())+((Брони!$F$2:$F$500="Возвращена")*Брони!$E$2:$E$500))&gt;=A83)*Брони!$A$2:$A$500)</f>
        <v/>
      </c>
      <c r="P83" s="19">
        <f>SUMPRODUCT((Брони!$B$2:$B$500=B83)*(Брони!$D$2:$D$500=N83)*(((Брони!$F$2:$F$500="Выдана")+(Брони!$F$2:$F$500="Возвращена"))))</f>
        <v/>
      </c>
      <c r="Q83" s="10" t="n"/>
    </row>
    <row r="84">
      <c r="A84" s="11" t="n"/>
      <c r="B84" s="10" t="n"/>
      <c r="C84" s="10" t="n"/>
      <c r="D84" s="14" t="n"/>
      <c r="E84" s="10" t="n"/>
      <c r="F84" s="20">
        <f>IF(OR(A84="",B84=""),"",IF(OR(NOT(ISNUMBER(A84)),ISERROR(N84+O84+P84)),"Проверьте даты",IF(AND(N84&gt;0,P84&gt;1),"Дубль",IF(AND(N84&gt;0,O84&gt;0),O84,"Вне аренды"))))</f>
        <v/>
      </c>
      <c r="G84" s="12">
        <f>IF(ISNUMBER(F84),IFERROR(INDEX(Брони!$C$2:$C$500,MATCH(F84,Брони!$A$2:$A$500,0)),""),"")</f>
        <v/>
      </c>
      <c r="H84" s="10" t="n"/>
      <c r="I84" s="18" t="n"/>
      <c r="J84" s="12">
        <f>IF(AND(ISNUMBER(F84),I84&lt;&gt;""),IFERROR(IF(AND(INDEX(Брони!$F$2:$F$500,MATCH(F84,Брони!$A$2:$A$500,0))="Возвращена",I84&gt;INDEX(Брони!$E$2:$E$500,MATCH(F84,Брони!$A$2:$A$500,0))),"Да",""),""),"")</f>
        <v/>
      </c>
      <c r="K84" s="10" t="n"/>
      <c r="L84" s="14" t="n"/>
      <c r="M84" s="15">
        <f>IF(OR(A84="",B84=""),"",IF(AND(ISNUMBER(F84),H84&lt;&gt;"Компания"),D84+L84,0))</f>
        <v/>
      </c>
      <c r="N84" s="21">
        <f>SUMPRODUCT(MAX((Брони!$B$2:$B$500=B84)*((Брони!$F$2:$F$500="Выдана")+(Брони!$F$2:$F$500="Возвращена"))*(Брони!$D$2:$D$500&lt;=A84)*Брони!$D$2:$D$500))</f>
        <v/>
      </c>
      <c r="O84" s="19">
        <f>SUMPRODUCT((Брони!$B$2:$B$500=B84)*(Брони!$D$2:$D$500=N84)*((((Брони!$F$2:$F$500="Выдана")*NOW())+((Брони!$F$2:$F$500="Возвращена")*Брони!$E$2:$E$500))&gt;=A84)*Брони!$A$2:$A$500)</f>
        <v/>
      </c>
      <c r="P84" s="19">
        <f>SUMPRODUCT((Брони!$B$2:$B$500=B84)*(Брони!$D$2:$D$500=N84)*(((Брони!$F$2:$F$500="Выдана")+(Брони!$F$2:$F$500="Возвращена"))))</f>
        <v/>
      </c>
      <c r="Q84" s="10" t="n"/>
    </row>
    <row r="85">
      <c r="A85" s="11" t="n"/>
      <c r="B85" s="10" t="n"/>
      <c r="C85" s="10" t="n"/>
      <c r="D85" s="14" t="n"/>
      <c r="E85" s="10" t="n"/>
      <c r="F85" s="20">
        <f>IF(OR(A85="",B85=""),"",IF(OR(NOT(ISNUMBER(A85)),ISERROR(N85+O85+P85)),"Проверьте даты",IF(AND(N85&gt;0,P85&gt;1),"Дубль",IF(AND(N85&gt;0,O85&gt;0),O85,"Вне аренды"))))</f>
        <v/>
      </c>
      <c r="G85" s="12">
        <f>IF(ISNUMBER(F85),IFERROR(INDEX(Брони!$C$2:$C$500,MATCH(F85,Брони!$A$2:$A$500,0)),""),"")</f>
        <v/>
      </c>
      <c r="H85" s="10" t="n"/>
      <c r="I85" s="18" t="n"/>
      <c r="J85" s="12">
        <f>IF(AND(ISNUMBER(F85),I85&lt;&gt;""),IFERROR(IF(AND(INDEX(Брони!$F$2:$F$500,MATCH(F85,Брони!$A$2:$A$500,0))="Возвращена",I85&gt;INDEX(Брони!$E$2:$E$500,MATCH(F85,Брони!$A$2:$A$500,0))),"Да",""),""),"")</f>
        <v/>
      </c>
      <c r="K85" s="10" t="n"/>
      <c r="L85" s="14" t="n"/>
      <c r="M85" s="15">
        <f>IF(OR(A85="",B85=""),"",IF(AND(ISNUMBER(F85),H85&lt;&gt;"Компания"),D85+L85,0))</f>
        <v/>
      </c>
      <c r="N85" s="21">
        <f>SUMPRODUCT(MAX((Брони!$B$2:$B$500=B85)*((Брони!$F$2:$F$500="Выдана")+(Брони!$F$2:$F$500="Возвращена"))*(Брони!$D$2:$D$500&lt;=A85)*Брони!$D$2:$D$500))</f>
        <v/>
      </c>
      <c r="O85" s="19">
        <f>SUMPRODUCT((Брони!$B$2:$B$500=B85)*(Брони!$D$2:$D$500=N85)*((((Брони!$F$2:$F$500="Выдана")*NOW())+((Брони!$F$2:$F$500="Возвращена")*Брони!$E$2:$E$500))&gt;=A85)*Брони!$A$2:$A$500)</f>
        <v/>
      </c>
      <c r="P85" s="19">
        <f>SUMPRODUCT((Брони!$B$2:$B$500=B85)*(Брони!$D$2:$D$500=N85)*(((Брони!$F$2:$F$500="Выдана")+(Брони!$F$2:$F$500="Возвращена"))))</f>
        <v/>
      </c>
      <c r="Q85" s="10" t="n"/>
    </row>
    <row r="86">
      <c r="A86" s="11" t="n"/>
      <c r="B86" s="10" t="n"/>
      <c r="C86" s="10" t="n"/>
      <c r="D86" s="14" t="n"/>
      <c r="E86" s="10" t="n"/>
      <c r="F86" s="20">
        <f>IF(OR(A86="",B86=""),"",IF(OR(NOT(ISNUMBER(A86)),ISERROR(N86+O86+P86)),"Проверьте даты",IF(AND(N86&gt;0,P86&gt;1),"Дубль",IF(AND(N86&gt;0,O86&gt;0),O86,"Вне аренды"))))</f>
        <v/>
      </c>
      <c r="G86" s="12">
        <f>IF(ISNUMBER(F86),IFERROR(INDEX(Брони!$C$2:$C$500,MATCH(F86,Брони!$A$2:$A$500,0)),""),"")</f>
        <v/>
      </c>
      <c r="H86" s="10" t="n"/>
      <c r="I86" s="18" t="n"/>
      <c r="J86" s="12">
        <f>IF(AND(ISNUMBER(F86),I86&lt;&gt;""),IFERROR(IF(AND(INDEX(Брони!$F$2:$F$500,MATCH(F86,Брони!$A$2:$A$500,0))="Возвращена",I86&gt;INDEX(Брони!$E$2:$E$500,MATCH(F86,Брони!$A$2:$A$500,0))),"Да",""),""),"")</f>
        <v/>
      </c>
      <c r="K86" s="10" t="n"/>
      <c r="L86" s="14" t="n"/>
      <c r="M86" s="15">
        <f>IF(OR(A86="",B86=""),"",IF(AND(ISNUMBER(F86),H86&lt;&gt;"Компания"),D86+L86,0))</f>
        <v/>
      </c>
      <c r="N86" s="21">
        <f>SUMPRODUCT(MAX((Брони!$B$2:$B$500=B86)*((Брони!$F$2:$F$500="Выдана")+(Брони!$F$2:$F$500="Возвращена"))*(Брони!$D$2:$D$500&lt;=A86)*Брони!$D$2:$D$500))</f>
        <v/>
      </c>
      <c r="O86" s="19">
        <f>SUMPRODUCT((Брони!$B$2:$B$500=B86)*(Брони!$D$2:$D$500=N86)*((((Брони!$F$2:$F$500="Выдана")*NOW())+((Брони!$F$2:$F$500="Возвращена")*Брони!$E$2:$E$500))&gt;=A86)*Брони!$A$2:$A$500)</f>
        <v/>
      </c>
      <c r="P86" s="19">
        <f>SUMPRODUCT((Брони!$B$2:$B$500=B86)*(Брони!$D$2:$D$500=N86)*(((Брони!$F$2:$F$500="Выдана")+(Брони!$F$2:$F$500="Возвращена"))))</f>
        <v/>
      </c>
      <c r="Q86" s="10" t="n"/>
    </row>
    <row r="87">
      <c r="A87" s="11" t="n"/>
      <c r="B87" s="10" t="n"/>
      <c r="C87" s="10" t="n"/>
      <c r="D87" s="14" t="n"/>
      <c r="E87" s="10" t="n"/>
      <c r="F87" s="20">
        <f>IF(OR(A87="",B87=""),"",IF(OR(NOT(ISNUMBER(A87)),ISERROR(N87+O87+P87)),"Проверьте даты",IF(AND(N87&gt;0,P87&gt;1),"Дубль",IF(AND(N87&gt;0,O87&gt;0),O87,"Вне аренды"))))</f>
        <v/>
      </c>
      <c r="G87" s="12">
        <f>IF(ISNUMBER(F87),IFERROR(INDEX(Брони!$C$2:$C$500,MATCH(F87,Брони!$A$2:$A$500,0)),""),"")</f>
        <v/>
      </c>
      <c r="H87" s="10" t="n"/>
      <c r="I87" s="18" t="n"/>
      <c r="J87" s="12">
        <f>IF(AND(ISNUMBER(F87),I87&lt;&gt;""),IFERROR(IF(AND(INDEX(Брони!$F$2:$F$500,MATCH(F87,Брони!$A$2:$A$500,0))="Возвращена",I87&gt;INDEX(Брони!$E$2:$E$500,MATCH(F87,Брони!$A$2:$A$500,0))),"Да",""),""),"")</f>
        <v/>
      </c>
      <c r="K87" s="10" t="n"/>
      <c r="L87" s="14" t="n"/>
      <c r="M87" s="15">
        <f>IF(OR(A87="",B87=""),"",IF(AND(ISNUMBER(F87),H87&lt;&gt;"Компания"),D87+L87,0))</f>
        <v/>
      </c>
      <c r="N87" s="21">
        <f>SUMPRODUCT(MAX((Брони!$B$2:$B$500=B87)*((Брони!$F$2:$F$500="Выдана")+(Брони!$F$2:$F$500="Возвращена"))*(Брони!$D$2:$D$500&lt;=A87)*Брони!$D$2:$D$500))</f>
        <v/>
      </c>
      <c r="O87" s="19">
        <f>SUMPRODUCT((Брони!$B$2:$B$500=B87)*(Брони!$D$2:$D$500=N87)*((((Брони!$F$2:$F$500="Выдана")*NOW())+((Брони!$F$2:$F$500="Возвращена")*Брони!$E$2:$E$500))&gt;=A87)*Брони!$A$2:$A$500)</f>
        <v/>
      </c>
      <c r="P87" s="19">
        <f>SUMPRODUCT((Брони!$B$2:$B$500=B87)*(Брони!$D$2:$D$500=N87)*(((Брони!$F$2:$F$500="Выдана")+(Брони!$F$2:$F$500="Возвращена"))))</f>
        <v/>
      </c>
      <c r="Q87" s="10" t="n"/>
    </row>
    <row r="88">
      <c r="A88" s="11" t="n"/>
      <c r="B88" s="10" t="n"/>
      <c r="C88" s="10" t="n"/>
      <c r="D88" s="14" t="n"/>
      <c r="E88" s="10" t="n"/>
      <c r="F88" s="20">
        <f>IF(OR(A88="",B88=""),"",IF(OR(NOT(ISNUMBER(A88)),ISERROR(N88+O88+P88)),"Проверьте даты",IF(AND(N88&gt;0,P88&gt;1),"Дубль",IF(AND(N88&gt;0,O88&gt;0),O88,"Вне аренды"))))</f>
        <v/>
      </c>
      <c r="G88" s="12">
        <f>IF(ISNUMBER(F88),IFERROR(INDEX(Брони!$C$2:$C$500,MATCH(F88,Брони!$A$2:$A$500,0)),""),"")</f>
        <v/>
      </c>
      <c r="H88" s="10" t="n"/>
      <c r="I88" s="18" t="n"/>
      <c r="J88" s="12">
        <f>IF(AND(ISNUMBER(F88),I88&lt;&gt;""),IFERROR(IF(AND(INDEX(Брони!$F$2:$F$500,MATCH(F88,Брони!$A$2:$A$500,0))="Возвращена",I88&gt;INDEX(Брони!$E$2:$E$500,MATCH(F88,Брони!$A$2:$A$500,0))),"Да",""),""),"")</f>
        <v/>
      </c>
      <c r="K88" s="10" t="n"/>
      <c r="L88" s="14" t="n"/>
      <c r="M88" s="15">
        <f>IF(OR(A88="",B88=""),"",IF(AND(ISNUMBER(F88),H88&lt;&gt;"Компания"),D88+L88,0))</f>
        <v/>
      </c>
      <c r="N88" s="21">
        <f>SUMPRODUCT(MAX((Брони!$B$2:$B$500=B88)*((Брони!$F$2:$F$500="Выдана")+(Брони!$F$2:$F$500="Возвращена"))*(Брони!$D$2:$D$500&lt;=A88)*Брони!$D$2:$D$500))</f>
        <v/>
      </c>
      <c r="O88" s="19">
        <f>SUMPRODUCT((Брони!$B$2:$B$500=B88)*(Брони!$D$2:$D$500=N88)*((((Брони!$F$2:$F$500="Выдана")*NOW())+((Брони!$F$2:$F$500="Возвращена")*Брони!$E$2:$E$500))&gt;=A88)*Брони!$A$2:$A$500)</f>
        <v/>
      </c>
      <c r="P88" s="19">
        <f>SUMPRODUCT((Брони!$B$2:$B$500=B88)*(Брони!$D$2:$D$500=N88)*(((Брони!$F$2:$F$500="Выдана")+(Брони!$F$2:$F$500="Возвращена"))))</f>
        <v/>
      </c>
      <c r="Q88" s="10" t="n"/>
    </row>
    <row r="89">
      <c r="A89" s="11" t="n"/>
      <c r="B89" s="10" t="n"/>
      <c r="C89" s="10" t="n"/>
      <c r="D89" s="14" t="n"/>
      <c r="E89" s="10" t="n"/>
      <c r="F89" s="20">
        <f>IF(OR(A89="",B89=""),"",IF(OR(NOT(ISNUMBER(A89)),ISERROR(N89+O89+P89)),"Проверьте даты",IF(AND(N89&gt;0,P89&gt;1),"Дубль",IF(AND(N89&gt;0,O89&gt;0),O89,"Вне аренды"))))</f>
        <v/>
      </c>
      <c r="G89" s="12">
        <f>IF(ISNUMBER(F89),IFERROR(INDEX(Брони!$C$2:$C$500,MATCH(F89,Брони!$A$2:$A$500,0)),""),"")</f>
        <v/>
      </c>
      <c r="H89" s="10" t="n"/>
      <c r="I89" s="18" t="n"/>
      <c r="J89" s="12">
        <f>IF(AND(ISNUMBER(F89),I89&lt;&gt;""),IFERROR(IF(AND(INDEX(Брони!$F$2:$F$500,MATCH(F89,Брони!$A$2:$A$500,0))="Возвращена",I89&gt;INDEX(Брони!$E$2:$E$500,MATCH(F89,Брони!$A$2:$A$500,0))),"Да",""),""),"")</f>
        <v/>
      </c>
      <c r="K89" s="10" t="n"/>
      <c r="L89" s="14" t="n"/>
      <c r="M89" s="15">
        <f>IF(OR(A89="",B89=""),"",IF(AND(ISNUMBER(F89),H89&lt;&gt;"Компания"),D89+L89,0))</f>
        <v/>
      </c>
      <c r="N89" s="21">
        <f>SUMPRODUCT(MAX((Брони!$B$2:$B$500=B89)*((Брони!$F$2:$F$500="Выдана")+(Брони!$F$2:$F$500="Возвращена"))*(Брони!$D$2:$D$500&lt;=A89)*Брони!$D$2:$D$500))</f>
        <v/>
      </c>
      <c r="O89" s="19">
        <f>SUMPRODUCT((Брони!$B$2:$B$500=B89)*(Брони!$D$2:$D$500=N89)*((((Брони!$F$2:$F$500="Выдана")*NOW())+((Брони!$F$2:$F$500="Возвращена")*Брони!$E$2:$E$500))&gt;=A89)*Брони!$A$2:$A$500)</f>
        <v/>
      </c>
      <c r="P89" s="19">
        <f>SUMPRODUCT((Брони!$B$2:$B$500=B89)*(Брони!$D$2:$D$500=N89)*(((Брони!$F$2:$F$500="Выдана")+(Брони!$F$2:$F$500="Возвращена"))))</f>
        <v/>
      </c>
      <c r="Q89" s="10" t="n"/>
    </row>
    <row r="90">
      <c r="A90" s="11" t="n"/>
      <c r="B90" s="10" t="n"/>
      <c r="C90" s="10" t="n"/>
      <c r="D90" s="14" t="n"/>
      <c r="E90" s="10" t="n"/>
      <c r="F90" s="20">
        <f>IF(OR(A90="",B90=""),"",IF(OR(NOT(ISNUMBER(A90)),ISERROR(N90+O90+P90)),"Проверьте даты",IF(AND(N90&gt;0,P90&gt;1),"Дубль",IF(AND(N90&gt;0,O90&gt;0),O90,"Вне аренды"))))</f>
        <v/>
      </c>
      <c r="G90" s="12">
        <f>IF(ISNUMBER(F90),IFERROR(INDEX(Брони!$C$2:$C$500,MATCH(F90,Брони!$A$2:$A$500,0)),""),"")</f>
        <v/>
      </c>
      <c r="H90" s="10" t="n"/>
      <c r="I90" s="18" t="n"/>
      <c r="J90" s="12">
        <f>IF(AND(ISNUMBER(F90),I90&lt;&gt;""),IFERROR(IF(AND(INDEX(Брони!$F$2:$F$500,MATCH(F90,Брони!$A$2:$A$500,0))="Возвращена",I90&gt;INDEX(Брони!$E$2:$E$500,MATCH(F90,Брони!$A$2:$A$500,0))),"Да",""),""),"")</f>
        <v/>
      </c>
      <c r="K90" s="10" t="n"/>
      <c r="L90" s="14" t="n"/>
      <c r="M90" s="15">
        <f>IF(OR(A90="",B90=""),"",IF(AND(ISNUMBER(F90),H90&lt;&gt;"Компания"),D90+L90,0))</f>
        <v/>
      </c>
      <c r="N90" s="21">
        <f>SUMPRODUCT(MAX((Брони!$B$2:$B$500=B90)*((Брони!$F$2:$F$500="Выдана")+(Брони!$F$2:$F$500="Возвращена"))*(Брони!$D$2:$D$500&lt;=A90)*Брони!$D$2:$D$500))</f>
        <v/>
      </c>
      <c r="O90" s="19">
        <f>SUMPRODUCT((Брони!$B$2:$B$500=B90)*(Брони!$D$2:$D$500=N90)*((((Брони!$F$2:$F$500="Выдана")*NOW())+((Брони!$F$2:$F$500="Возвращена")*Брони!$E$2:$E$500))&gt;=A90)*Брони!$A$2:$A$500)</f>
        <v/>
      </c>
      <c r="P90" s="19">
        <f>SUMPRODUCT((Брони!$B$2:$B$500=B90)*(Брони!$D$2:$D$500=N90)*(((Брони!$F$2:$F$500="Выдана")+(Брони!$F$2:$F$500="Возвращена"))))</f>
        <v/>
      </c>
      <c r="Q90" s="10" t="n"/>
    </row>
    <row r="91">
      <c r="A91" s="11" t="n"/>
      <c r="B91" s="10" t="n"/>
      <c r="C91" s="10" t="n"/>
      <c r="D91" s="14" t="n"/>
      <c r="E91" s="10" t="n"/>
      <c r="F91" s="20">
        <f>IF(OR(A91="",B91=""),"",IF(OR(NOT(ISNUMBER(A91)),ISERROR(N91+O91+P91)),"Проверьте даты",IF(AND(N91&gt;0,P91&gt;1),"Дубль",IF(AND(N91&gt;0,O91&gt;0),O91,"Вне аренды"))))</f>
        <v/>
      </c>
      <c r="G91" s="12">
        <f>IF(ISNUMBER(F91),IFERROR(INDEX(Брони!$C$2:$C$500,MATCH(F91,Брони!$A$2:$A$500,0)),""),"")</f>
        <v/>
      </c>
      <c r="H91" s="10" t="n"/>
      <c r="I91" s="18" t="n"/>
      <c r="J91" s="12">
        <f>IF(AND(ISNUMBER(F91),I91&lt;&gt;""),IFERROR(IF(AND(INDEX(Брони!$F$2:$F$500,MATCH(F91,Брони!$A$2:$A$500,0))="Возвращена",I91&gt;INDEX(Брони!$E$2:$E$500,MATCH(F91,Брони!$A$2:$A$500,0))),"Да",""),""),"")</f>
        <v/>
      </c>
      <c r="K91" s="10" t="n"/>
      <c r="L91" s="14" t="n"/>
      <c r="M91" s="15">
        <f>IF(OR(A91="",B91=""),"",IF(AND(ISNUMBER(F91),H91&lt;&gt;"Компания"),D91+L91,0))</f>
        <v/>
      </c>
      <c r="N91" s="21">
        <f>SUMPRODUCT(MAX((Брони!$B$2:$B$500=B91)*((Брони!$F$2:$F$500="Выдана")+(Брони!$F$2:$F$500="Возвращена"))*(Брони!$D$2:$D$500&lt;=A91)*Брони!$D$2:$D$500))</f>
        <v/>
      </c>
      <c r="O91" s="19">
        <f>SUMPRODUCT((Брони!$B$2:$B$500=B91)*(Брони!$D$2:$D$500=N91)*((((Брони!$F$2:$F$500="Выдана")*NOW())+((Брони!$F$2:$F$500="Возвращена")*Брони!$E$2:$E$500))&gt;=A91)*Брони!$A$2:$A$500)</f>
        <v/>
      </c>
      <c r="P91" s="19">
        <f>SUMPRODUCT((Брони!$B$2:$B$500=B91)*(Брони!$D$2:$D$500=N91)*(((Брони!$F$2:$F$500="Выдана")+(Брони!$F$2:$F$500="Возвращена"))))</f>
        <v/>
      </c>
      <c r="Q91" s="10" t="n"/>
    </row>
    <row r="92">
      <c r="A92" s="11" t="n"/>
      <c r="B92" s="10" t="n"/>
      <c r="C92" s="10" t="n"/>
      <c r="D92" s="14" t="n"/>
      <c r="E92" s="10" t="n"/>
      <c r="F92" s="20">
        <f>IF(OR(A92="",B92=""),"",IF(OR(NOT(ISNUMBER(A92)),ISERROR(N92+O92+P92)),"Проверьте даты",IF(AND(N92&gt;0,P92&gt;1),"Дубль",IF(AND(N92&gt;0,O92&gt;0),O92,"Вне аренды"))))</f>
        <v/>
      </c>
      <c r="G92" s="12">
        <f>IF(ISNUMBER(F92),IFERROR(INDEX(Брони!$C$2:$C$500,MATCH(F92,Брони!$A$2:$A$500,0)),""),"")</f>
        <v/>
      </c>
      <c r="H92" s="10" t="n"/>
      <c r="I92" s="18" t="n"/>
      <c r="J92" s="12">
        <f>IF(AND(ISNUMBER(F92),I92&lt;&gt;""),IFERROR(IF(AND(INDEX(Брони!$F$2:$F$500,MATCH(F92,Брони!$A$2:$A$500,0))="Возвращена",I92&gt;INDEX(Брони!$E$2:$E$500,MATCH(F92,Брони!$A$2:$A$500,0))),"Да",""),""),"")</f>
        <v/>
      </c>
      <c r="K92" s="10" t="n"/>
      <c r="L92" s="14" t="n"/>
      <c r="M92" s="15">
        <f>IF(OR(A92="",B92=""),"",IF(AND(ISNUMBER(F92),H92&lt;&gt;"Компания"),D92+L92,0))</f>
        <v/>
      </c>
      <c r="N92" s="21">
        <f>SUMPRODUCT(MAX((Брони!$B$2:$B$500=B92)*((Брони!$F$2:$F$500="Выдана")+(Брони!$F$2:$F$500="Возвращена"))*(Брони!$D$2:$D$500&lt;=A92)*Брони!$D$2:$D$500))</f>
        <v/>
      </c>
      <c r="O92" s="19">
        <f>SUMPRODUCT((Брони!$B$2:$B$500=B92)*(Брони!$D$2:$D$500=N92)*((((Брони!$F$2:$F$500="Выдана")*NOW())+((Брони!$F$2:$F$500="Возвращена")*Брони!$E$2:$E$500))&gt;=A92)*Брони!$A$2:$A$500)</f>
        <v/>
      </c>
      <c r="P92" s="19">
        <f>SUMPRODUCT((Брони!$B$2:$B$500=B92)*(Брони!$D$2:$D$500=N92)*(((Брони!$F$2:$F$500="Выдана")+(Брони!$F$2:$F$500="Возвращена"))))</f>
        <v/>
      </c>
      <c r="Q92" s="10" t="n"/>
    </row>
    <row r="93">
      <c r="A93" s="11" t="n"/>
      <c r="B93" s="10" t="n"/>
      <c r="C93" s="10" t="n"/>
      <c r="D93" s="14" t="n"/>
      <c r="E93" s="10" t="n"/>
      <c r="F93" s="20">
        <f>IF(OR(A93="",B93=""),"",IF(OR(NOT(ISNUMBER(A93)),ISERROR(N93+O93+P93)),"Проверьте даты",IF(AND(N93&gt;0,P93&gt;1),"Дубль",IF(AND(N93&gt;0,O93&gt;0),O93,"Вне аренды"))))</f>
        <v/>
      </c>
      <c r="G93" s="12">
        <f>IF(ISNUMBER(F93),IFERROR(INDEX(Брони!$C$2:$C$500,MATCH(F93,Брони!$A$2:$A$500,0)),""),"")</f>
        <v/>
      </c>
      <c r="H93" s="10" t="n"/>
      <c r="I93" s="18" t="n"/>
      <c r="J93" s="12">
        <f>IF(AND(ISNUMBER(F93),I93&lt;&gt;""),IFERROR(IF(AND(INDEX(Брони!$F$2:$F$500,MATCH(F93,Брони!$A$2:$A$500,0))="Возвращена",I93&gt;INDEX(Брони!$E$2:$E$500,MATCH(F93,Брони!$A$2:$A$500,0))),"Да",""),""),"")</f>
        <v/>
      </c>
      <c r="K93" s="10" t="n"/>
      <c r="L93" s="14" t="n"/>
      <c r="M93" s="15">
        <f>IF(OR(A93="",B93=""),"",IF(AND(ISNUMBER(F93),H93&lt;&gt;"Компания"),D93+L93,0))</f>
        <v/>
      </c>
      <c r="N93" s="21">
        <f>SUMPRODUCT(MAX((Брони!$B$2:$B$500=B93)*((Брони!$F$2:$F$500="Выдана")+(Брони!$F$2:$F$500="Возвращена"))*(Брони!$D$2:$D$500&lt;=A93)*Брони!$D$2:$D$500))</f>
        <v/>
      </c>
      <c r="O93" s="19">
        <f>SUMPRODUCT((Брони!$B$2:$B$500=B93)*(Брони!$D$2:$D$500=N93)*((((Брони!$F$2:$F$500="Выдана")*NOW())+((Брони!$F$2:$F$500="Возвращена")*Брони!$E$2:$E$500))&gt;=A93)*Брони!$A$2:$A$500)</f>
        <v/>
      </c>
      <c r="P93" s="19">
        <f>SUMPRODUCT((Брони!$B$2:$B$500=B93)*(Брони!$D$2:$D$500=N93)*(((Брони!$F$2:$F$500="Выдана")+(Брони!$F$2:$F$500="Возвращена"))))</f>
        <v/>
      </c>
      <c r="Q93" s="10" t="n"/>
    </row>
    <row r="94">
      <c r="A94" s="11" t="n"/>
      <c r="B94" s="10" t="n"/>
      <c r="C94" s="10" t="n"/>
      <c r="D94" s="14" t="n"/>
      <c r="E94" s="10" t="n"/>
      <c r="F94" s="20">
        <f>IF(OR(A94="",B94=""),"",IF(OR(NOT(ISNUMBER(A94)),ISERROR(N94+O94+P94)),"Проверьте даты",IF(AND(N94&gt;0,P94&gt;1),"Дубль",IF(AND(N94&gt;0,O94&gt;0),O94,"Вне аренды"))))</f>
        <v/>
      </c>
      <c r="G94" s="12">
        <f>IF(ISNUMBER(F94),IFERROR(INDEX(Брони!$C$2:$C$500,MATCH(F94,Брони!$A$2:$A$500,0)),""),"")</f>
        <v/>
      </c>
      <c r="H94" s="10" t="n"/>
      <c r="I94" s="18" t="n"/>
      <c r="J94" s="12">
        <f>IF(AND(ISNUMBER(F94),I94&lt;&gt;""),IFERROR(IF(AND(INDEX(Брони!$F$2:$F$500,MATCH(F94,Брони!$A$2:$A$500,0))="Возвращена",I94&gt;INDEX(Брони!$E$2:$E$500,MATCH(F94,Брони!$A$2:$A$500,0))),"Да",""),""),"")</f>
        <v/>
      </c>
      <c r="K94" s="10" t="n"/>
      <c r="L94" s="14" t="n"/>
      <c r="M94" s="15">
        <f>IF(OR(A94="",B94=""),"",IF(AND(ISNUMBER(F94),H94&lt;&gt;"Компания"),D94+L94,0))</f>
        <v/>
      </c>
      <c r="N94" s="21">
        <f>SUMPRODUCT(MAX((Брони!$B$2:$B$500=B94)*((Брони!$F$2:$F$500="Выдана")+(Брони!$F$2:$F$500="Возвращена"))*(Брони!$D$2:$D$500&lt;=A94)*Брони!$D$2:$D$500))</f>
        <v/>
      </c>
      <c r="O94" s="19">
        <f>SUMPRODUCT((Брони!$B$2:$B$500=B94)*(Брони!$D$2:$D$500=N94)*((((Брони!$F$2:$F$500="Выдана")*NOW())+((Брони!$F$2:$F$500="Возвращена")*Брони!$E$2:$E$500))&gt;=A94)*Брони!$A$2:$A$500)</f>
        <v/>
      </c>
      <c r="P94" s="19">
        <f>SUMPRODUCT((Брони!$B$2:$B$500=B94)*(Брони!$D$2:$D$500=N94)*(((Брони!$F$2:$F$500="Выдана")+(Брони!$F$2:$F$500="Возвращена"))))</f>
        <v/>
      </c>
      <c r="Q94" s="10" t="n"/>
    </row>
    <row r="95">
      <c r="A95" s="11" t="n"/>
      <c r="B95" s="10" t="n"/>
      <c r="C95" s="10" t="n"/>
      <c r="D95" s="14" t="n"/>
      <c r="E95" s="10" t="n"/>
      <c r="F95" s="20">
        <f>IF(OR(A95="",B95=""),"",IF(OR(NOT(ISNUMBER(A95)),ISERROR(N95+O95+P95)),"Проверьте даты",IF(AND(N95&gt;0,P95&gt;1),"Дубль",IF(AND(N95&gt;0,O95&gt;0),O95,"Вне аренды"))))</f>
        <v/>
      </c>
      <c r="G95" s="12">
        <f>IF(ISNUMBER(F95),IFERROR(INDEX(Брони!$C$2:$C$500,MATCH(F95,Брони!$A$2:$A$500,0)),""),"")</f>
        <v/>
      </c>
      <c r="H95" s="10" t="n"/>
      <c r="I95" s="18" t="n"/>
      <c r="J95" s="12">
        <f>IF(AND(ISNUMBER(F95),I95&lt;&gt;""),IFERROR(IF(AND(INDEX(Брони!$F$2:$F$500,MATCH(F95,Брони!$A$2:$A$500,0))="Возвращена",I95&gt;INDEX(Брони!$E$2:$E$500,MATCH(F95,Брони!$A$2:$A$500,0))),"Да",""),""),"")</f>
        <v/>
      </c>
      <c r="K95" s="10" t="n"/>
      <c r="L95" s="14" t="n"/>
      <c r="M95" s="15">
        <f>IF(OR(A95="",B95=""),"",IF(AND(ISNUMBER(F95),H95&lt;&gt;"Компания"),D95+L95,0))</f>
        <v/>
      </c>
      <c r="N95" s="21">
        <f>SUMPRODUCT(MAX((Брони!$B$2:$B$500=B95)*((Брони!$F$2:$F$500="Выдана")+(Брони!$F$2:$F$500="Возвращена"))*(Брони!$D$2:$D$500&lt;=A95)*Брони!$D$2:$D$500))</f>
        <v/>
      </c>
      <c r="O95" s="19">
        <f>SUMPRODUCT((Брони!$B$2:$B$500=B95)*(Брони!$D$2:$D$500=N95)*((((Брони!$F$2:$F$500="Выдана")*NOW())+((Брони!$F$2:$F$500="Возвращена")*Брони!$E$2:$E$500))&gt;=A95)*Брони!$A$2:$A$500)</f>
        <v/>
      </c>
      <c r="P95" s="19">
        <f>SUMPRODUCT((Брони!$B$2:$B$500=B95)*(Брони!$D$2:$D$500=N95)*(((Брони!$F$2:$F$500="Выдана")+(Брони!$F$2:$F$500="Возвращена"))))</f>
        <v/>
      </c>
      <c r="Q95" s="10" t="n"/>
    </row>
    <row r="96">
      <c r="A96" s="11" t="n"/>
      <c r="B96" s="10" t="n"/>
      <c r="C96" s="10" t="n"/>
      <c r="D96" s="14" t="n"/>
      <c r="E96" s="10" t="n"/>
      <c r="F96" s="20">
        <f>IF(OR(A96="",B96=""),"",IF(OR(NOT(ISNUMBER(A96)),ISERROR(N96+O96+P96)),"Проверьте даты",IF(AND(N96&gt;0,P96&gt;1),"Дубль",IF(AND(N96&gt;0,O96&gt;0),O96,"Вне аренды"))))</f>
        <v/>
      </c>
      <c r="G96" s="12">
        <f>IF(ISNUMBER(F96),IFERROR(INDEX(Брони!$C$2:$C$500,MATCH(F96,Брони!$A$2:$A$500,0)),""),"")</f>
        <v/>
      </c>
      <c r="H96" s="10" t="n"/>
      <c r="I96" s="18" t="n"/>
      <c r="J96" s="12">
        <f>IF(AND(ISNUMBER(F96),I96&lt;&gt;""),IFERROR(IF(AND(INDEX(Брони!$F$2:$F$500,MATCH(F96,Брони!$A$2:$A$500,0))="Возвращена",I96&gt;INDEX(Брони!$E$2:$E$500,MATCH(F96,Брони!$A$2:$A$500,0))),"Да",""),""),"")</f>
        <v/>
      </c>
      <c r="K96" s="10" t="n"/>
      <c r="L96" s="14" t="n"/>
      <c r="M96" s="15">
        <f>IF(OR(A96="",B96=""),"",IF(AND(ISNUMBER(F96),H96&lt;&gt;"Компания"),D96+L96,0))</f>
        <v/>
      </c>
      <c r="N96" s="21">
        <f>SUMPRODUCT(MAX((Брони!$B$2:$B$500=B96)*((Брони!$F$2:$F$500="Выдана")+(Брони!$F$2:$F$500="Возвращена"))*(Брони!$D$2:$D$500&lt;=A96)*Брони!$D$2:$D$500))</f>
        <v/>
      </c>
      <c r="O96" s="19">
        <f>SUMPRODUCT((Брони!$B$2:$B$500=B96)*(Брони!$D$2:$D$500=N96)*((((Брони!$F$2:$F$500="Выдана")*NOW())+((Брони!$F$2:$F$500="Возвращена")*Брони!$E$2:$E$500))&gt;=A96)*Брони!$A$2:$A$500)</f>
        <v/>
      </c>
      <c r="P96" s="19">
        <f>SUMPRODUCT((Брони!$B$2:$B$500=B96)*(Брони!$D$2:$D$500=N96)*(((Брони!$F$2:$F$500="Выдана")+(Брони!$F$2:$F$500="Возвращена"))))</f>
        <v/>
      </c>
      <c r="Q96" s="10" t="n"/>
    </row>
    <row r="97">
      <c r="A97" s="11" t="n"/>
      <c r="B97" s="10" t="n"/>
      <c r="C97" s="10" t="n"/>
      <c r="D97" s="14" t="n"/>
      <c r="E97" s="10" t="n"/>
      <c r="F97" s="20">
        <f>IF(OR(A97="",B97=""),"",IF(OR(NOT(ISNUMBER(A97)),ISERROR(N97+O97+P97)),"Проверьте даты",IF(AND(N97&gt;0,P97&gt;1),"Дубль",IF(AND(N97&gt;0,O97&gt;0),O97,"Вне аренды"))))</f>
        <v/>
      </c>
      <c r="G97" s="12">
        <f>IF(ISNUMBER(F97),IFERROR(INDEX(Брони!$C$2:$C$500,MATCH(F97,Брони!$A$2:$A$500,0)),""),"")</f>
        <v/>
      </c>
      <c r="H97" s="10" t="n"/>
      <c r="I97" s="18" t="n"/>
      <c r="J97" s="12">
        <f>IF(AND(ISNUMBER(F97),I97&lt;&gt;""),IFERROR(IF(AND(INDEX(Брони!$F$2:$F$500,MATCH(F97,Брони!$A$2:$A$500,0))="Возвращена",I97&gt;INDEX(Брони!$E$2:$E$500,MATCH(F97,Брони!$A$2:$A$500,0))),"Да",""),""),"")</f>
        <v/>
      </c>
      <c r="K97" s="10" t="n"/>
      <c r="L97" s="14" t="n"/>
      <c r="M97" s="15">
        <f>IF(OR(A97="",B97=""),"",IF(AND(ISNUMBER(F97),H97&lt;&gt;"Компания"),D97+L97,0))</f>
        <v/>
      </c>
      <c r="N97" s="21">
        <f>SUMPRODUCT(MAX((Брони!$B$2:$B$500=B97)*((Брони!$F$2:$F$500="Выдана")+(Брони!$F$2:$F$500="Возвращена"))*(Брони!$D$2:$D$500&lt;=A97)*Брони!$D$2:$D$500))</f>
        <v/>
      </c>
      <c r="O97" s="19">
        <f>SUMPRODUCT((Брони!$B$2:$B$500=B97)*(Брони!$D$2:$D$500=N97)*((((Брони!$F$2:$F$500="Выдана")*NOW())+((Брони!$F$2:$F$500="Возвращена")*Брони!$E$2:$E$500))&gt;=A97)*Брони!$A$2:$A$500)</f>
        <v/>
      </c>
      <c r="P97" s="19">
        <f>SUMPRODUCT((Брони!$B$2:$B$500=B97)*(Брони!$D$2:$D$500=N97)*(((Брони!$F$2:$F$500="Выдана")+(Брони!$F$2:$F$500="Возвращена"))))</f>
        <v/>
      </c>
      <c r="Q97" s="10" t="n"/>
    </row>
    <row r="98">
      <c r="A98" s="11" t="n"/>
      <c r="B98" s="10" t="n"/>
      <c r="C98" s="10" t="n"/>
      <c r="D98" s="14" t="n"/>
      <c r="E98" s="10" t="n"/>
      <c r="F98" s="20">
        <f>IF(OR(A98="",B98=""),"",IF(OR(NOT(ISNUMBER(A98)),ISERROR(N98+O98+P98)),"Проверьте даты",IF(AND(N98&gt;0,P98&gt;1),"Дубль",IF(AND(N98&gt;0,O98&gt;0),O98,"Вне аренды"))))</f>
        <v/>
      </c>
      <c r="G98" s="12">
        <f>IF(ISNUMBER(F98),IFERROR(INDEX(Брони!$C$2:$C$500,MATCH(F98,Брони!$A$2:$A$500,0)),""),"")</f>
        <v/>
      </c>
      <c r="H98" s="10" t="n"/>
      <c r="I98" s="18" t="n"/>
      <c r="J98" s="12">
        <f>IF(AND(ISNUMBER(F98),I98&lt;&gt;""),IFERROR(IF(AND(INDEX(Брони!$F$2:$F$500,MATCH(F98,Брони!$A$2:$A$500,0))="Возвращена",I98&gt;INDEX(Брони!$E$2:$E$500,MATCH(F98,Брони!$A$2:$A$500,0))),"Да",""),""),"")</f>
        <v/>
      </c>
      <c r="K98" s="10" t="n"/>
      <c r="L98" s="14" t="n"/>
      <c r="M98" s="15">
        <f>IF(OR(A98="",B98=""),"",IF(AND(ISNUMBER(F98),H98&lt;&gt;"Компания"),D98+L98,0))</f>
        <v/>
      </c>
      <c r="N98" s="21">
        <f>SUMPRODUCT(MAX((Брони!$B$2:$B$500=B98)*((Брони!$F$2:$F$500="Выдана")+(Брони!$F$2:$F$500="Возвращена"))*(Брони!$D$2:$D$500&lt;=A98)*Брони!$D$2:$D$500))</f>
        <v/>
      </c>
      <c r="O98" s="19">
        <f>SUMPRODUCT((Брони!$B$2:$B$500=B98)*(Брони!$D$2:$D$500=N98)*((((Брони!$F$2:$F$500="Выдана")*NOW())+((Брони!$F$2:$F$500="Возвращена")*Брони!$E$2:$E$500))&gt;=A98)*Брони!$A$2:$A$500)</f>
        <v/>
      </c>
      <c r="P98" s="19">
        <f>SUMPRODUCT((Брони!$B$2:$B$500=B98)*(Брони!$D$2:$D$500=N98)*(((Брони!$F$2:$F$500="Выдана")+(Брони!$F$2:$F$500="Возвращена"))))</f>
        <v/>
      </c>
      <c r="Q98" s="10" t="n"/>
    </row>
    <row r="99">
      <c r="A99" s="11" t="n"/>
      <c r="B99" s="10" t="n"/>
      <c r="C99" s="10" t="n"/>
      <c r="D99" s="14" t="n"/>
      <c r="E99" s="10" t="n"/>
      <c r="F99" s="20">
        <f>IF(OR(A99="",B99=""),"",IF(OR(NOT(ISNUMBER(A99)),ISERROR(N99+O99+P99)),"Проверьте даты",IF(AND(N99&gt;0,P99&gt;1),"Дубль",IF(AND(N99&gt;0,O99&gt;0),O99,"Вне аренды"))))</f>
        <v/>
      </c>
      <c r="G99" s="12">
        <f>IF(ISNUMBER(F99),IFERROR(INDEX(Брони!$C$2:$C$500,MATCH(F99,Брони!$A$2:$A$500,0)),""),"")</f>
        <v/>
      </c>
      <c r="H99" s="10" t="n"/>
      <c r="I99" s="18" t="n"/>
      <c r="J99" s="12">
        <f>IF(AND(ISNUMBER(F99),I99&lt;&gt;""),IFERROR(IF(AND(INDEX(Брони!$F$2:$F$500,MATCH(F99,Брони!$A$2:$A$500,0))="Возвращена",I99&gt;INDEX(Брони!$E$2:$E$500,MATCH(F99,Брони!$A$2:$A$500,0))),"Да",""),""),"")</f>
        <v/>
      </c>
      <c r="K99" s="10" t="n"/>
      <c r="L99" s="14" t="n"/>
      <c r="M99" s="15">
        <f>IF(OR(A99="",B99=""),"",IF(AND(ISNUMBER(F99),H99&lt;&gt;"Компания"),D99+L99,0))</f>
        <v/>
      </c>
      <c r="N99" s="21">
        <f>SUMPRODUCT(MAX((Брони!$B$2:$B$500=B99)*((Брони!$F$2:$F$500="Выдана")+(Брони!$F$2:$F$500="Возвращена"))*(Брони!$D$2:$D$500&lt;=A99)*Брони!$D$2:$D$500))</f>
        <v/>
      </c>
      <c r="O99" s="19">
        <f>SUMPRODUCT((Брони!$B$2:$B$500=B99)*(Брони!$D$2:$D$500=N99)*((((Брони!$F$2:$F$500="Выдана")*NOW())+((Брони!$F$2:$F$500="Возвращена")*Брони!$E$2:$E$500))&gt;=A99)*Брони!$A$2:$A$500)</f>
        <v/>
      </c>
      <c r="P99" s="19">
        <f>SUMPRODUCT((Брони!$B$2:$B$500=B99)*(Брони!$D$2:$D$500=N99)*(((Брони!$F$2:$F$500="Выдана")+(Брони!$F$2:$F$500="Возвращена"))))</f>
        <v/>
      </c>
      <c r="Q99" s="10" t="n"/>
    </row>
    <row r="100">
      <c r="A100" s="11" t="n"/>
      <c r="B100" s="10" t="n"/>
      <c r="C100" s="10" t="n"/>
      <c r="D100" s="14" t="n"/>
      <c r="E100" s="10" t="n"/>
      <c r="F100" s="20">
        <f>IF(OR(A100="",B100=""),"",IF(OR(NOT(ISNUMBER(A100)),ISERROR(N100+O100+P100)),"Проверьте даты",IF(AND(N100&gt;0,P100&gt;1),"Дубль",IF(AND(N100&gt;0,O100&gt;0),O100,"Вне аренды"))))</f>
        <v/>
      </c>
      <c r="G100" s="12">
        <f>IF(ISNUMBER(F100),IFERROR(INDEX(Брони!$C$2:$C$500,MATCH(F100,Брони!$A$2:$A$500,0)),""),"")</f>
        <v/>
      </c>
      <c r="H100" s="10" t="n"/>
      <c r="I100" s="18" t="n"/>
      <c r="J100" s="12">
        <f>IF(AND(ISNUMBER(F100),I100&lt;&gt;""),IFERROR(IF(AND(INDEX(Брони!$F$2:$F$500,MATCH(F100,Брони!$A$2:$A$500,0))="Возвращена",I100&gt;INDEX(Брони!$E$2:$E$500,MATCH(F100,Брони!$A$2:$A$500,0))),"Да",""),""),"")</f>
        <v/>
      </c>
      <c r="K100" s="10" t="n"/>
      <c r="L100" s="14" t="n"/>
      <c r="M100" s="15">
        <f>IF(OR(A100="",B100=""),"",IF(AND(ISNUMBER(F100),H100&lt;&gt;"Компания"),D100+L100,0))</f>
        <v/>
      </c>
      <c r="N100" s="21">
        <f>SUMPRODUCT(MAX((Брони!$B$2:$B$500=B100)*((Брони!$F$2:$F$500="Выдана")+(Брони!$F$2:$F$500="Возвращена"))*(Брони!$D$2:$D$500&lt;=A100)*Брони!$D$2:$D$500))</f>
        <v/>
      </c>
      <c r="O100" s="19">
        <f>SUMPRODUCT((Брони!$B$2:$B$500=B100)*(Брони!$D$2:$D$500=N100)*((((Брони!$F$2:$F$500="Выдана")*NOW())+((Брони!$F$2:$F$500="Возвращена")*Брони!$E$2:$E$500))&gt;=A100)*Брони!$A$2:$A$500)</f>
        <v/>
      </c>
      <c r="P100" s="19">
        <f>SUMPRODUCT((Брони!$B$2:$B$500=B100)*(Брони!$D$2:$D$500=N100)*(((Брони!$F$2:$F$500="Выдана")+(Брони!$F$2:$F$500="Возвращена"))))</f>
        <v/>
      </c>
      <c r="Q100" s="10" t="n"/>
    </row>
    <row r="101">
      <c r="A101" s="11" t="n"/>
      <c r="B101" s="10" t="n"/>
      <c r="C101" s="10" t="n"/>
      <c r="D101" s="14" t="n"/>
      <c r="E101" s="10" t="n"/>
      <c r="F101" s="20">
        <f>IF(OR(A101="",B101=""),"",IF(OR(NOT(ISNUMBER(A101)),ISERROR(N101+O101+P101)),"Проверьте даты",IF(AND(N101&gt;0,P101&gt;1),"Дубль",IF(AND(N101&gt;0,O101&gt;0),O101,"Вне аренды"))))</f>
        <v/>
      </c>
      <c r="G101" s="12">
        <f>IF(ISNUMBER(F101),IFERROR(INDEX(Брони!$C$2:$C$500,MATCH(F101,Брони!$A$2:$A$500,0)),""),"")</f>
        <v/>
      </c>
      <c r="H101" s="10" t="n"/>
      <c r="I101" s="18" t="n"/>
      <c r="J101" s="12">
        <f>IF(AND(ISNUMBER(F101),I101&lt;&gt;""),IFERROR(IF(AND(INDEX(Брони!$F$2:$F$500,MATCH(F101,Брони!$A$2:$A$500,0))="Возвращена",I101&gt;INDEX(Брони!$E$2:$E$500,MATCH(F101,Брони!$A$2:$A$500,0))),"Да",""),""),"")</f>
        <v/>
      </c>
      <c r="K101" s="10" t="n"/>
      <c r="L101" s="14" t="n"/>
      <c r="M101" s="15">
        <f>IF(OR(A101="",B101=""),"",IF(AND(ISNUMBER(F101),H101&lt;&gt;"Компания"),D101+L101,0))</f>
        <v/>
      </c>
      <c r="N101" s="21">
        <f>SUMPRODUCT(MAX((Брони!$B$2:$B$500=B101)*((Брони!$F$2:$F$500="Выдана")+(Брони!$F$2:$F$500="Возвращена"))*(Брони!$D$2:$D$500&lt;=A101)*Брони!$D$2:$D$500))</f>
        <v/>
      </c>
      <c r="O101" s="19">
        <f>SUMPRODUCT((Брони!$B$2:$B$500=B101)*(Брони!$D$2:$D$500=N101)*((((Брони!$F$2:$F$500="Выдана")*NOW())+((Брони!$F$2:$F$500="Возвращена")*Брони!$E$2:$E$500))&gt;=A101)*Брони!$A$2:$A$500)</f>
        <v/>
      </c>
      <c r="P101" s="19">
        <f>SUMPRODUCT((Брони!$B$2:$B$500=B101)*(Брони!$D$2:$D$500=N101)*(((Брони!$F$2:$F$500="Выдана")+(Брони!$F$2:$F$500="Возвращена"))))</f>
        <v/>
      </c>
      <c r="Q101" s="10" t="n"/>
    </row>
    <row r="102">
      <c r="A102" s="11" t="n"/>
      <c r="B102" s="10" t="n"/>
      <c r="C102" s="10" t="n"/>
      <c r="D102" s="14" t="n"/>
      <c r="E102" s="10" t="n"/>
      <c r="F102" s="20">
        <f>IF(OR(A102="",B102=""),"",IF(OR(NOT(ISNUMBER(A102)),ISERROR(N102+O102+P102)),"Проверьте даты",IF(AND(N102&gt;0,P102&gt;1),"Дубль",IF(AND(N102&gt;0,O102&gt;0),O102,"Вне аренды"))))</f>
        <v/>
      </c>
      <c r="G102" s="12">
        <f>IF(ISNUMBER(F102),IFERROR(INDEX(Брони!$C$2:$C$500,MATCH(F102,Брони!$A$2:$A$500,0)),""),"")</f>
        <v/>
      </c>
      <c r="H102" s="10" t="n"/>
      <c r="I102" s="18" t="n"/>
      <c r="J102" s="12">
        <f>IF(AND(ISNUMBER(F102),I102&lt;&gt;""),IFERROR(IF(AND(INDEX(Брони!$F$2:$F$500,MATCH(F102,Брони!$A$2:$A$500,0))="Возвращена",I102&gt;INDEX(Брони!$E$2:$E$500,MATCH(F102,Брони!$A$2:$A$500,0))),"Да",""),""),"")</f>
        <v/>
      </c>
      <c r="K102" s="10" t="n"/>
      <c r="L102" s="14" t="n"/>
      <c r="M102" s="15">
        <f>IF(OR(A102="",B102=""),"",IF(AND(ISNUMBER(F102),H102&lt;&gt;"Компания"),D102+L102,0))</f>
        <v/>
      </c>
      <c r="N102" s="21">
        <f>SUMPRODUCT(MAX((Брони!$B$2:$B$500=B102)*((Брони!$F$2:$F$500="Выдана")+(Брони!$F$2:$F$500="Возвращена"))*(Брони!$D$2:$D$500&lt;=A102)*Брони!$D$2:$D$500))</f>
        <v/>
      </c>
      <c r="O102" s="19">
        <f>SUMPRODUCT((Брони!$B$2:$B$500=B102)*(Брони!$D$2:$D$500=N102)*((((Брони!$F$2:$F$500="Выдана")*NOW())+((Брони!$F$2:$F$500="Возвращена")*Брони!$E$2:$E$500))&gt;=A102)*Брони!$A$2:$A$500)</f>
        <v/>
      </c>
      <c r="P102" s="19">
        <f>SUMPRODUCT((Брони!$B$2:$B$500=B102)*(Брони!$D$2:$D$500=N102)*(((Брони!$F$2:$F$500="Выдана")+(Брони!$F$2:$F$500="Возвращена"))))</f>
        <v/>
      </c>
      <c r="Q102" s="10" t="n"/>
    </row>
    <row r="103">
      <c r="A103" s="11" t="n"/>
      <c r="B103" s="10" t="n"/>
      <c r="C103" s="10" t="n"/>
      <c r="D103" s="14" t="n"/>
      <c r="E103" s="10" t="n"/>
      <c r="F103" s="20">
        <f>IF(OR(A103="",B103=""),"",IF(OR(NOT(ISNUMBER(A103)),ISERROR(N103+O103+P103)),"Проверьте даты",IF(AND(N103&gt;0,P103&gt;1),"Дубль",IF(AND(N103&gt;0,O103&gt;0),O103,"Вне аренды"))))</f>
        <v/>
      </c>
      <c r="G103" s="12">
        <f>IF(ISNUMBER(F103),IFERROR(INDEX(Брони!$C$2:$C$500,MATCH(F103,Брони!$A$2:$A$500,0)),""),"")</f>
        <v/>
      </c>
      <c r="H103" s="10" t="n"/>
      <c r="I103" s="18" t="n"/>
      <c r="J103" s="12">
        <f>IF(AND(ISNUMBER(F103),I103&lt;&gt;""),IFERROR(IF(AND(INDEX(Брони!$F$2:$F$500,MATCH(F103,Брони!$A$2:$A$500,0))="Возвращена",I103&gt;INDEX(Брони!$E$2:$E$500,MATCH(F103,Брони!$A$2:$A$500,0))),"Да",""),""),"")</f>
        <v/>
      </c>
      <c r="K103" s="10" t="n"/>
      <c r="L103" s="14" t="n"/>
      <c r="M103" s="15">
        <f>IF(OR(A103="",B103=""),"",IF(AND(ISNUMBER(F103),H103&lt;&gt;"Компания"),D103+L103,0))</f>
        <v/>
      </c>
      <c r="N103" s="21">
        <f>SUMPRODUCT(MAX((Брони!$B$2:$B$500=B103)*((Брони!$F$2:$F$500="Выдана")+(Брони!$F$2:$F$500="Возвращена"))*(Брони!$D$2:$D$500&lt;=A103)*Брони!$D$2:$D$500))</f>
        <v/>
      </c>
      <c r="O103" s="19">
        <f>SUMPRODUCT((Брони!$B$2:$B$500=B103)*(Брони!$D$2:$D$500=N103)*((((Брони!$F$2:$F$500="Выдана")*NOW())+((Брони!$F$2:$F$500="Возвращена")*Брони!$E$2:$E$500))&gt;=A103)*Брони!$A$2:$A$500)</f>
        <v/>
      </c>
      <c r="P103" s="19">
        <f>SUMPRODUCT((Брони!$B$2:$B$500=B103)*(Брони!$D$2:$D$500=N103)*(((Брони!$F$2:$F$500="Выдана")+(Брони!$F$2:$F$500="Возвращена"))))</f>
        <v/>
      </c>
      <c r="Q103" s="10" t="n"/>
    </row>
    <row r="104">
      <c r="A104" s="11" t="n"/>
      <c r="B104" s="10" t="n"/>
      <c r="C104" s="10" t="n"/>
      <c r="D104" s="14" t="n"/>
      <c r="E104" s="10" t="n"/>
      <c r="F104" s="20">
        <f>IF(OR(A104="",B104=""),"",IF(OR(NOT(ISNUMBER(A104)),ISERROR(N104+O104+P104)),"Проверьте даты",IF(AND(N104&gt;0,P104&gt;1),"Дубль",IF(AND(N104&gt;0,O104&gt;0),O104,"Вне аренды"))))</f>
        <v/>
      </c>
      <c r="G104" s="12">
        <f>IF(ISNUMBER(F104),IFERROR(INDEX(Брони!$C$2:$C$500,MATCH(F104,Брони!$A$2:$A$500,0)),""),"")</f>
        <v/>
      </c>
      <c r="H104" s="10" t="n"/>
      <c r="I104" s="18" t="n"/>
      <c r="J104" s="12">
        <f>IF(AND(ISNUMBER(F104),I104&lt;&gt;""),IFERROR(IF(AND(INDEX(Брони!$F$2:$F$500,MATCH(F104,Брони!$A$2:$A$500,0))="Возвращена",I104&gt;INDEX(Брони!$E$2:$E$500,MATCH(F104,Брони!$A$2:$A$500,0))),"Да",""),""),"")</f>
        <v/>
      </c>
      <c r="K104" s="10" t="n"/>
      <c r="L104" s="14" t="n"/>
      <c r="M104" s="15">
        <f>IF(OR(A104="",B104=""),"",IF(AND(ISNUMBER(F104),H104&lt;&gt;"Компания"),D104+L104,0))</f>
        <v/>
      </c>
      <c r="N104" s="21">
        <f>SUMPRODUCT(MAX((Брони!$B$2:$B$500=B104)*((Брони!$F$2:$F$500="Выдана")+(Брони!$F$2:$F$500="Возвращена"))*(Брони!$D$2:$D$500&lt;=A104)*Брони!$D$2:$D$500))</f>
        <v/>
      </c>
      <c r="O104" s="19">
        <f>SUMPRODUCT((Брони!$B$2:$B$500=B104)*(Брони!$D$2:$D$500=N104)*((((Брони!$F$2:$F$500="Выдана")*NOW())+((Брони!$F$2:$F$500="Возвращена")*Брони!$E$2:$E$500))&gt;=A104)*Брони!$A$2:$A$500)</f>
        <v/>
      </c>
      <c r="P104" s="19">
        <f>SUMPRODUCT((Брони!$B$2:$B$500=B104)*(Брони!$D$2:$D$500=N104)*(((Брони!$F$2:$F$500="Выдана")+(Брони!$F$2:$F$500="Возвращена"))))</f>
        <v/>
      </c>
      <c r="Q104" s="10" t="n"/>
    </row>
    <row r="105">
      <c r="A105" s="11" t="n"/>
      <c r="B105" s="10" t="n"/>
      <c r="C105" s="10" t="n"/>
      <c r="D105" s="14" t="n"/>
      <c r="E105" s="10" t="n"/>
      <c r="F105" s="20">
        <f>IF(OR(A105="",B105=""),"",IF(OR(NOT(ISNUMBER(A105)),ISERROR(N105+O105+P105)),"Проверьте даты",IF(AND(N105&gt;0,P105&gt;1),"Дубль",IF(AND(N105&gt;0,O105&gt;0),O105,"Вне аренды"))))</f>
        <v/>
      </c>
      <c r="G105" s="12">
        <f>IF(ISNUMBER(F105),IFERROR(INDEX(Брони!$C$2:$C$500,MATCH(F105,Брони!$A$2:$A$500,0)),""),"")</f>
        <v/>
      </c>
      <c r="H105" s="10" t="n"/>
      <c r="I105" s="18" t="n"/>
      <c r="J105" s="12">
        <f>IF(AND(ISNUMBER(F105),I105&lt;&gt;""),IFERROR(IF(AND(INDEX(Брони!$F$2:$F$500,MATCH(F105,Брони!$A$2:$A$500,0))="Возвращена",I105&gt;INDEX(Брони!$E$2:$E$500,MATCH(F105,Брони!$A$2:$A$500,0))),"Да",""),""),"")</f>
        <v/>
      </c>
      <c r="K105" s="10" t="n"/>
      <c r="L105" s="14" t="n"/>
      <c r="M105" s="15">
        <f>IF(OR(A105="",B105=""),"",IF(AND(ISNUMBER(F105),H105&lt;&gt;"Компания"),D105+L105,0))</f>
        <v/>
      </c>
      <c r="N105" s="21">
        <f>SUMPRODUCT(MAX((Брони!$B$2:$B$500=B105)*((Брони!$F$2:$F$500="Выдана")+(Брони!$F$2:$F$500="Возвращена"))*(Брони!$D$2:$D$500&lt;=A105)*Брони!$D$2:$D$500))</f>
        <v/>
      </c>
      <c r="O105" s="19">
        <f>SUMPRODUCT((Брони!$B$2:$B$500=B105)*(Брони!$D$2:$D$500=N105)*((((Брони!$F$2:$F$500="Выдана")*NOW())+((Брони!$F$2:$F$500="Возвращена")*Брони!$E$2:$E$500))&gt;=A105)*Брони!$A$2:$A$500)</f>
        <v/>
      </c>
      <c r="P105" s="19">
        <f>SUMPRODUCT((Брони!$B$2:$B$500=B105)*(Брони!$D$2:$D$500=N105)*(((Брони!$F$2:$F$500="Выдана")+(Брони!$F$2:$F$500="Возвращена"))))</f>
        <v/>
      </c>
      <c r="Q105" s="10" t="n"/>
    </row>
    <row r="106">
      <c r="A106" s="11" t="n"/>
      <c r="B106" s="10" t="n"/>
      <c r="C106" s="10" t="n"/>
      <c r="D106" s="14" t="n"/>
      <c r="E106" s="10" t="n"/>
      <c r="F106" s="20">
        <f>IF(OR(A106="",B106=""),"",IF(OR(NOT(ISNUMBER(A106)),ISERROR(N106+O106+P106)),"Проверьте даты",IF(AND(N106&gt;0,P106&gt;1),"Дубль",IF(AND(N106&gt;0,O106&gt;0),O106,"Вне аренды"))))</f>
        <v/>
      </c>
      <c r="G106" s="12">
        <f>IF(ISNUMBER(F106),IFERROR(INDEX(Брони!$C$2:$C$500,MATCH(F106,Брони!$A$2:$A$500,0)),""),"")</f>
        <v/>
      </c>
      <c r="H106" s="10" t="n"/>
      <c r="I106" s="18" t="n"/>
      <c r="J106" s="12">
        <f>IF(AND(ISNUMBER(F106),I106&lt;&gt;""),IFERROR(IF(AND(INDEX(Брони!$F$2:$F$500,MATCH(F106,Брони!$A$2:$A$500,0))="Возвращена",I106&gt;INDEX(Брони!$E$2:$E$500,MATCH(F106,Брони!$A$2:$A$500,0))),"Да",""),""),"")</f>
        <v/>
      </c>
      <c r="K106" s="10" t="n"/>
      <c r="L106" s="14" t="n"/>
      <c r="M106" s="15">
        <f>IF(OR(A106="",B106=""),"",IF(AND(ISNUMBER(F106),H106&lt;&gt;"Компания"),D106+L106,0))</f>
        <v/>
      </c>
      <c r="N106" s="21">
        <f>SUMPRODUCT(MAX((Брони!$B$2:$B$500=B106)*((Брони!$F$2:$F$500="Выдана")+(Брони!$F$2:$F$500="Возвращена"))*(Брони!$D$2:$D$500&lt;=A106)*Брони!$D$2:$D$500))</f>
        <v/>
      </c>
      <c r="O106" s="19">
        <f>SUMPRODUCT((Брони!$B$2:$B$500=B106)*(Брони!$D$2:$D$500=N106)*((((Брони!$F$2:$F$500="Выдана")*NOW())+((Брони!$F$2:$F$500="Возвращена")*Брони!$E$2:$E$500))&gt;=A106)*Брони!$A$2:$A$500)</f>
        <v/>
      </c>
      <c r="P106" s="19">
        <f>SUMPRODUCT((Брони!$B$2:$B$500=B106)*(Брони!$D$2:$D$500=N106)*(((Брони!$F$2:$F$500="Выдана")+(Брони!$F$2:$F$500="Возвращена"))))</f>
        <v/>
      </c>
      <c r="Q106" s="10" t="n"/>
    </row>
    <row r="107">
      <c r="A107" s="11" t="n"/>
      <c r="B107" s="10" t="n"/>
      <c r="C107" s="10" t="n"/>
      <c r="D107" s="14" t="n"/>
      <c r="E107" s="10" t="n"/>
      <c r="F107" s="20">
        <f>IF(OR(A107="",B107=""),"",IF(OR(NOT(ISNUMBER(A107)),ISERROR(N107+O107+P107)),"Проверьте даты",IF(AND(N107&gt;0,P107&gt;1),"Дубль",IF(AND(N107&gt;0,O107&gt;0),O107,"Вне аренды"))))</f>
        <v/>
      </c>
      <c r="G107" s="12">
        <f>IF(ISNUMBER(F107),IFERROR(INDEX(Брони!$C$2:$C$500,MATCH(F107,Брони!$A$2:$A$500,0)),""),"")</f>
        <v/>
      </c>
      <c r="H107" s="10" t="n"/>
      <c r="I107" s="18" t="n"/>
      <c r="J107" s="12">
        <f>IF(AND(ISNUMBER(F107),I107&lt;&gt;""),IFERROR(IF(AND(INDEX(Брони!$F$2:$F$500,MATCH(F107,Брони!$A$2:$A$500,0))="Возвращена",I107&gt;INDEX(Брони!$E$2:$E$500,MATCH(F107,Брони!$A$2:$A$500,0))),"Да",""),""),"")</f>
        <v/>
      </c>
      <c r="K107" s="10" t="n"/>
      <c r="L107" s="14" t="n"/>
      <c r="M107" s="15">
        <f>IF(OR(A107="",B107=""),"",IF(AND(ISNUMBER(F107),H107&lt;&gt;"Компания"),D107+L107,0))</f>
        <v/>
      </c>
      <c r="N107" s="21">
        <f>SUMPRODUCT(MAX((Брони!$B$2:$B$500=B107)*((Брони!$F$2:$F$500="Выдана")+(Брони!$F$2:$F$500="Возвращена"))*(Брони!$D$2:$D$500&lt;=A107)*Брони!$D$2:$D$500))</f>
        <v/>
      </c>
      <c r="O107" s="19">
        <f>SUMPRODUCT((Брони!$B$2:$B$500=B107)*(Брони!$D$2:$D$500=N107)*((((Брони!$F$2:$F$500="Выдана")*NOW())+((Брони!$F$2:$F$500="Возвращена")*Брони!$E$2:$E$500))&gt;=A107)*Брони!$A$2:$A$500)</f>
        <v/>
      </c>
      <c r="P107" s="19">
        <f>SUMPRODUCT((Брони!$B$2:$B$500=B107)*(Брони!$D$2:$D$500=N107)*(((Брони!$F$2:$F$500="Выдана")+(Брони!$F$2:$F$500="Возвращена"))))</f>
        <v/>
      </c>
      <c r="Q107" s="10" t="n"/>
    </row>
    <row r="108">
      <c r="A108" s="11" t="n"/>
      <c r="B108" s="10" t="n"/>
      <c r="C108" s="10" t="n"/>
      <c r="D108" s="14" t="n"/>
      <c r="E108" s="10" t="n"/>
      <c r="F108" s="20">
        <f>IF(OR(A108="",B108=""),"",IF(OR(NOT(ISNUMBER(A108)),ISERROR(N108+O108+P108)),"Проверьте даты",IF(AND(N108&gt;0,P108&gt;1),"Дубль",IF(AND(N108&gt;0,O108&gt;0),O108,"Вне аренды"))))</f>
        <v/>
      </c>
      <c r="G108" s="12">
        <f>IF(ISNUMBER(F108),IFERROR(INDEX(Брони!$C$2:$C$500,MATCH(F108,Брони!$A$2:$A$500,0)),""),"")</f>
        <v/>
      </c>
      <c r="H108" s="10" t="n"/>
      <c r="I108" s="18" t="n"/>
      <c r="J108" s="12">
        <f>IF(AND(ISNUMBER(F108),I108&lt;&gt;""),IFERROR(IF(AND(INDEX(Брони!$F$2:$F$500,MATCH(F108,Брони!$A$2:$A$500,0))="Возвращена",I108&gt;INDEX(Брони!$E$2:$E$500,MATCH(F108,Брони!$A$2:$A$500,0))),"Да",""),""),"")</f>
        <v/>
      </c>
      <c r="K108" s="10" t="n"/>
      <c r="L108" s="14" t="n"/>
      <c r="M108" s="15">
        <f>IF(OR(A108="",B108=""),"",IF(AND(ISNUMBER(F108),H108&lt;&gt;"Компания"),D108+L108,0))</f>
        <v/>
      </c>
      <c r="N108" s="21">
        <f>SUMPRODUCT(MAX((Брони!$B$2:$B$500=B108)*((Брони!$F$2:$F$500="Выдана")+(Брони!$F$2:$F$500="Возвращена"))*(Брони!$D$2:$D$500&lt;=A108)*Брони!$D$2:$D$500))</f>
        <v/>
      </c>
      <c r="O108" s="19">
        <f>SUMPRODUCT((Брони!$B$2:$B$500=B108)*(Брони!$D$2:$D$500=N108)*((((Брони!$F$2:$F$500="Выдана")*NOW())+((Брони!$F$2:$F$500="Возвращена")*Брони!$E$2:$E$500))&gt;=A108)*Брони!$A$2:$A$500)</f>
        <v/>
      </c>
      <c r="P108" s="19">
        <f>SUMPRODUCT((Брони!$B$2:$B$500=B108)*(Брони!$D$2:$D$500=N108)*(((Брони!$F$2:$F$500="Выдана")+(Брони!$F$2:$F$500="Возвращена"))))</f>
        <v/>
      </c>
      <c r="Q108" s="10" t="n"/>
    </row>
    <row r="109">
      <c r="A109" s="11" t="n"/>
      <c r="B109" s="10" t="n"/>
      <c r="C109" s="10" t="n"/>
      <c r="D109" s="14" t="n"/>
      <c r="E109" s="10" t="n"/>
      <c r="F109" s="20">
        <f>IF(OR(A109="",B109=""),"",IF(OR(NOT(ISNUMBER(A109)),ISERROR(N109+O109+P109)),"Проверьте даты",IF(AND(N109&gt;0,P109&gt;1),"Дубль",IF(AND(N109&gt;0,O109&gt;0),O109,"Вне аренды"))))</f>
        <v/>
      </c>
      <c r="G109" s="12">
        <f>IF(ISNUMBER(F109),IFERROR(INDEX(Брони!$C$2:$C$500,MATCH(F109,Брони!$A$2:$A$500,0)),""),"")</f>
        <v/>
      </c>
      <c r="H109" s="10" t="n"/>
      <c r="I109" s="18" t="n"/>
      <c r="J109" s="12">
        <f>IF(AND(ISNUMBER(F109),I109&lt;&gt;""),IFERROR(IF(AND(INDEX(Брони!$F$2:$F$500,MATCH(F109,Брони!$A$2:$A$500,0))="Возвращена",I109&gt;INDEX(Брони!$E$2:$E$500,MATCH(F109,Брони!$A$2:$A$500,0))),"Да",""),""),"")</f>
        <v/>
      </c>
      <c r="K109" s="10" t="n"/>
      <c r="L109" s="14" t="n"/>
      <c r="M109" s="15">
        <f>IF(OR(A109="",B109=""),"",IF(AND(ISNUMBER(F109),H109&lt;&gt;"Компания"),D109+L109,0))</f>
        <v/>
      </c>
      <c r="N109" s="21">
        <f>SUMPRODUCT(MAX((Брони!$B$2:$B$500=B109)*((Брони!$F$2:$F$500="Выдана")+(Брони!$F$2:$F$500="Возвращена"))*(Брони!$D$2:$D$500&lt;=A109)*Брони!$D$2:$D$500))</f>
        <v/>
      </c>
      <c r="O109" s="19">
        <f>SUMPRODUCT((Брони!$B$2:$B$500=B109)*(Брони!$D$2:$D$500=N109)*((((Брони!$F$2:$F$500="Выдана")*NOW())+((Брони!$F$2:$F$500="Возвращена")*Брони!$E$2:$E$500))&gt;=A109)*Брони!$A$2:$A$500)</f>
        <v/>
      </c>
      <c r="P109" s="19">
        <f>SUMPRODUCT((Брони!$B$2:$B$500=B109)*(Брони!$D$2:$D$500=N109)*(((Брони!$F$2:$F$500="Выдана")+(Брони!$F$2:$F$500="Возвращена"))))</f>
        <v/>
      </c>
      <c r="Q109" s="10" t="n"/>
    </row>
    <row r="110">
      <c r="A110" s="11" t="n"/>
      <c r="B110" s="10" t="n"/>
      <c r="C110" s="10" t="n"/>
      <c r="D110" s="14" t="n"/>
      <c r="E110" s="10" t="n"/>
      <c r="F110" s="20">
        <f>IF(OR(A110="",B110=""),"",IF(OR(NOT(ISNUMBER(A110)),ISERROR(N110+O110+P110)),"Проверьте даты",IF(AND(N110&gt;0,P110&gt;1),"Дубль",IF(AND(N110&gt;0,O110&gt;0),O110,"Вне аренды"))))</f>
        <v/>
      </c>
      <c r="G110" s="12">
        <f>IF(ISNUMBER(F110),IFERROR(INDEX(Брони!$C$2:$C$500,MATCH(F110,Брони!$A$2:$A$500,0)),""),"")</f>
        <v/>
      </c>
      <c r="H110" s="10" t="n"/>
      <c r="I110" s="18" t="n"/>
      <c r="J110" s="12">
        <f>IF(AND(ISNUMBER(F110),I110&lt;&gt;""),IFERROR(IF(AND(INDEX(Брони!$F$2:$F$500,MATCH(F110,Брони!$A$2:$A$500,0))="Возвращена",I110&gt;INDEX(Брони!$E$2:$E$500,MATCH(F110,Брони!$A$2:$A$500,0))),"Да",""),""),"")</f>
        <v/>
      </c>
      <c r="K110" s="10" t="n"/>
      <c r="L110" s="14" t="n"/>
      <c r="M110" s="15">
        <f>IF(OR(A110="",B110=""),"",IF(AND(ISNUMBER(F110),H110&lt;&gt;"Компания"),D110+L110,0))</f>
        <v/>
      </c>
      <c r="N110" s="21">
        <f>SUMPRODUCT(MAX((Брони!$B$2:$B$500=B110)*((Брони!$F$2:$F$500="Выдана")+(Брони!$F$2:$F$500="Возвращена"))*(Брони!$D$2:$D$500&lt;=A110)*Брони!$D$2:$D$500))</f>
        <v/>
      </c>
      <c r="O110" s="19">
        <f>SUMPRODUCT((Брони!$B$2:$B$500=B110)*(Брони!$D$2:$D$500=N110)*((((Брони!$F$2:$F$500="Выдана")*NOW())+((Брони!$F$2:$F$500="Возвращена")*Брони!$E$2:$E$500))&gt;=A110)*Брони!$A$2:$A$500)</f>
        <v/>
      </c>
      <c r="P110" s="19">
        <f>SUMPRODUCT((Брони!$B$2:$B$500=B110)*(Брони!$D$2:$D$500=N110)*(((Брони!$F$2:$F$500="Выдана")+(Брони!$F$2:$F$500="Возвращена"))))</f>
        <v/>
      </c>
      <c r="Q110" s="10" t="n"/>
    </row>
    <row r="111">
      <c r="A111" s="11" t="n"/>
      <c r="B111" s="10" t="n"/>
      <c r="C111" s="10" t="n"/>
      <c r="D111" s="14" t="n"/>
      <c r="E111" s="10" t="n"/>
      <c r="F111" s="20">
        <f>IF(OR(A111="",B111=""),"",IF(OR(NOT(ISNUMBER(A111)),ISERROR(N111+O111+P111)),"Проверьте даты",IF(AND(N111&gt;0,P111&gt;1),"Дубль",IF(AND(N111&gt;0,O111&gt;0),O111,"Вне аренды"))))</f>
        <v/>
      </c>
      <c r="G111" s="12">
        <f>IF(ISNUMBER(F111),IFERROR(INDEX(Брони!$C$2:$C$500,MATCH(F111,Брони!$A$2:$A$500,0)),""),"")</f>
        <v/>
      </c>
      <c r="H111" s="10" t="n"/>
      <c r="I111" s="18" t="n"/>
      <c r="J111" s="12">
        <f>IF(AND(ISNUMBER(F111),I111&lt;&gt;""),IFERROR(IF(AND(INDEX(Брони!$F$2:$F$500,MATCH(F111,Брони!$A$2:$A$500,0))="Возвращена",I111&gt;INDEX(Брони!$E$2:$E$500,MATCH(F111,Брони!$A$2:$A$500,0))),"Да",""),""),"")</f>
        <v/>
      </c>
      <c r="K111" s="10" t="n"/>
      <c r="L111" s="14" t="n"/>
      <c r="M111" s="15">
        <f>IF(OR(A111="",B111=""),"",IF(AND(ISNUMBER(F111),H111&lt;&gt;"Компания"),D111+L111,0))</f>
        <v/>
      </c>
      <c r="N111" s="21">
        <f>SUMPRODUCT(MAX((Брони!$B$2:$B$500=B111)*((Брони!$F$2:$F$500="Выдана")+(Брони!$F$2:$F$500="Возвращена"))*(Брони!$D$2:$D$500&lt;=A111)*Брони!$D$2:$D$500))</f>
        <v/>
      </c>
      <c r="O111" s="19">
        <f>SUMPRODUCT((Брони!$B$2:$B$500=B111)*(Брони!$D$2:$D$500=N111)*((((Брони!$F$2:$F$500="Выдана")*NOW())+((Брони!$F$2:$F$500="Возвращена")*Брони!$E$2:$E$500))&gt;=A111)*Брони!$A$2:$A$500)</f>
        <v/>
      </c>
      <c r="P111" s="19">
        <f>SUMPRODUCT((Брони!$B$2:$B$500=B111)*(Брони!$D$2:$D$500=N111)*(((Брони!$F$2:$F$500="Выдана")+(Брони!$F$2:$F$500="Возвращена"))))</f>
        <v/>
      </c>
      <c r="Q111" s="10" t="n"/>
    </row>
    <row r="112">
      <c r="A112" s="11" t="n"/>
      <c r="B112" s="10" t="n"/>
      <c r="C112" s="10" t="n"/>
      <c r="D112" s="14" t="n"/>
      <c r="E112" s="10" t="n"/>
      <c r="F112" s="20">
        <f>IF(OR(A112="",B112=""),"",IF(OR(NOT(ISNUMBER(A112)),ISERROR(N112+O112+P112)),"Проверьте даты",IF(AND(N112&gt;0,P112&gt;1),"Дубль",IF(AND(N112&gt;0,O112&gt;0),O112,"Вне аренды"))))</f>
        <v/>
      </c>
      <c r="G112" s="12">
        <f>IF(ISNUMBER(F112),IFERROR(INDEX(Брони!$C$2:$C$500,MATCH(F112,Брони!$A$2:$A$500,0)),""),"")</f>
        <v/>
      </c>
      <c r="H112" s="10" t="n"/>
      <c r="I112" s="18" t="n"/>
      <c r="J112" s="12">
        <f>IF(AND(ISNUMBER(F112),I112&lt;&gt;""),IFERROR(IF(AND(INDEX(Брони!$F$2:$F$500,MATCH(F112,Брони!$A$2:$A$500,0))="Возвращена",I112&gt;INDEX(Брони!$E$2:$E$500,MATCH(F112,Брони!$A$2:$A$500,0))),"Да",""),""),"")</f>
        <v/>
      </c>
      <c r="K112" s="10" t="n"/>
      <c r="L112" s="14" t="n"/>
      <c r="M112" s="15">
        <f>IF(OR(A112="",B112=""),"",IF(AND(ISNUMBER(F112),H112&lt;&gt;"Компания"),D112+L112,0))</f>
        <v/>
      </c>
      <c r="N112" s="21">
        <f>SUMPRODUCT(MAX((Брони!$B$2:$B$500=B112)*((Брони!$F$2:$F$500="Выдана")+(Брони!$F$2:$F$500="Возвращена"))*(Брони!$D$2:$D$500&lt;=A112)*Брони!$D$2:$D$500))</f>
        <v/>
      </c>
      <c r="O112" s="19">
        <f>SUMPRODUCT((Брони!$B$2:$B$500=B112)*(Брони!$D$2:$D$500=N112)*((((Брони!$F$2:$F$500="Выдана")*NOW())+((Брони!$F$2:$F$500="Возвращена")*Брони!$E$2:$E$500))&gt;=A112)*Брони!$A$2:$A$500)</f>
        <v/>
      </c>
      <c r="P112" s="19">
        <f>SUMPRODUCT((Брони!$B$2:$B$500=B112)*(Брони!$D$2:$D$500=N112)*(((Брони!$F$2:$F$500="Выдана")+(Брони!$F$2:$F$500="Возвращена"))))</f>
        <v/>
      </c>
      <c r="Q112" s="10" t="n"/>
    </row>
    <row r="113">
      <c r="A113" s="11" t="n"/>
      <c r="B113" s="10" t="n"/>
      <c r="C113" s="10" t="n"/>
      <c r="D113" s="14" t="n"/>
      <c r="E113" s="10" t="n"/>
      <c r="F113" s="20">
        <f>IF(OR(A113="",B113=""),"",IF(OR(NOT(ISNUMBER(A113)),ISERROR(N113+O113+P113)),"Проверьте даты",IF(AND(N113&gt;0,P113&gt;1),"Дубль",IF(AND(N113&gt;0,O113&gt;0),O113,"Вне аренды"))))</f>
        <v/>
      </c>
      <c r="G113" s="12">
        <f>IF(ISNUMBER(F113),IFERROR(INDEX(Брони!$C$2:$C$500,MATCH(F113,Брони!$A$2:$A$500,0)),""),"")</f>
        <v/>
      </c>
      <c r="H113" s="10" t="n"/>
      <c r="I113" s="18" t="n"/>
      <c r="J113" s="12">
        <f>IF(AND(ISNUMBER(F113),I113&lt;&gt;""),IFERROR(IF(AND(INDEX(Брони!$F$2:$F$500,MATCH(F113,Брони!$A$2:$A$500,0))="Возвращена",I113&gt;INDEX(Брони!$E$2:$E$500,MATCH(F113,Брони!$A$2:$A$500,0))),"Да",""),""),"")</f>
        <v/>
      </c>
      <c r="K113" s="10" t="n"/>
      <c r="L113" s="14" t="n"/>
      <c r="M113" s="15">
        <f>IF(OR(A113="",B113=""),"",IF(AND(ISNUMBER(F113),H113&lt;&gt;"Компания"),D113+L113,0))</f>
        <v/>
      </c>
      <c r="N113" s="21">
        <f>SUMPRODUCT(MAX((Брони!$B$2:$B$500=B113)*((Брони!$F$2:$F$500="Выдана")+(Брони!$F$2:$F$500="Возвращена"))*(Брони!$D$2:$D$500&lt;=A113)*Брони!$D$2:$D$500))</f>
        <v/>
      </c>
      <c r="O113" s="19">
        <f>SUMPRODUCT((Брони!$B$2:$B$500=B113)*(Брони!$D$2:$D$500=N113)*((((Брони!$F$2:$F$500="Выдана")*NOW())+((Брони!$F$2:$F$500="Возвращена")*Брони!$E$2:$E$500))&gt;=A113)*Брони!$A$2:$A$500)</f>
        <v/>
      </c>
      <c r="P113" s="19">
        <f>SUMPRODUCT((Брони!$B$2:$B$500=B113)*(Брони!$D$2:$D$500=N113)*(((Брони!$F$2:$F$500="Выдана")+(Брони!$F$2:$F$500="Возвращена"))))</f>
        <v/>
      </c>
      <c r="Q113" s="10" t="n"/>
    </row>
    <row r="114">
      <c r="A114" s="11" t="n"/>
      <c r="B114" s="10" t="n"/>
      <c r="C114" s="10" t="n"/>
      <c r="D114" s="14" t="n"/>
      <c r="E114" s="10" t="n"/>
      <c r="F114" s="20">
        <f>IF(OR(A114="",B114=""),"",IF(OR(NOT(ISNUMBER(A114)),ISERROR(N114+O114+P114)),"Проверьте даты",IF(AND(N114&gt;0,P114&gt;1),"Дубль",IF(AND(N114&gt;0,O114&gt;0),O114,"Вне аренды"))))</f>
        <v/>
      </c>
      <c r="G114" s="12">
        <f>IF(ISNUMBER(F114),IFERROR(INDEX(Брони!$C$2:$C$500,MATCH(F114,Брони!$A$2:$A$500,0)),""),"")</f>
        <v/>
      </c>
      <c r="H114" s="10" t="n"/>
      <c r="I114" s="18" t="n"/>
      <c r="J114" s="12">
        <f>IF(AND(ISNUMBER(F114),I114&lt;&gt;""),IFERROR(IF(AND(INDEX(Брони!$F$2:$F$500,MATCH(F114,Брони!$A$2:$A$500,0))="Возвращена",I114&gt;INDEX(Брони!$E$2:$E$500,MATCH(F114,Брони!$A$2:$A$500,0))),"Да",""),""),"")</f>
        <v/>
      </c>
      <c r="K114" s="10" t="n"/>
      <c r="L114" s="14" t="n"/>
      <c r="M114" s="15">
        <f>IF(OR(A114="",B114=""),"",IF(AND(ISNUMBER(F114),H114&lt;&gt;"Компания"),D114+L114,0))</f>
        <v/>
      </c>
      <c r="N114" s="21">
        <f>SUMPRODUCT(MAX((Брони!$B$2:$B$500=B114)*((Брони!$F$2:$F$500="Выдана")+(Брони!$F$2:$F$500="Возвращена"))*(Брони!$D$2:$D$500&lt;=A114)*Брони!$D$2:$D$500))</f>
        <v/>
      </c>
      <c r="O114" s="19">
        <f>SUMPRODUCT((Брони!$B$2:$B$500=B114)*(Брони!$D$2:$D$500=N114)*((((Брони!$F$2:$F$500="Выдана")*NOW())+((Брони!$F$2:$F$500="Возвращена")*Брони!$E$2:$E$500))&gt;=A114)*Брони!$A$2:$A$500)</f>
        <v/>
      </c>
      <c r="P114" s="19">
        <f>SUMPRODUCT((Брони!$B$2:$B$500=B114)*(Брони!$D$2:$D$500=N114)*(((Брони!$F$2:$F$500="Выдана")+(Брони!$F$2:$F$500="Возвращена"))))</f>
        <v/>
      </c>
      <c r="Q114" s="10" t="n"/>
    </row>
    <row r="115">
      <c r="A115" s="11" t="n"/>
      <c r="B115" s="10" t="n"/>
      <c r="C115" s="10" t="n"/>
      <c r="D115" s="14" t="n"/>
      <c r="E115" s="10" t="n"/>
      <c r="F115" s="20">
        <f>IF(OR(A115="",B115=""),"",IF(OR(NOT(ISNUMBER(A115)),ISERROR(N115+O115+P115)),"Проверьте даты",IF(AND(N115&gt;0,P115&gt;1),"Дубль",IF(AND(N115&gt;0,O115&gt;0),O115,"Вне аренды"))))</f>
        <v/>
      </c>
      <c r="G115" s="12">
        <f>IF(ISNUMBER(F115),IFERROR(INDEX(Брони!$C$2:$C$500,MATCH(F115,Брони!$A$2:$A$500,0)),""),"")</f>
        <v/>
      </c>
      <c r="H115" s="10" t="n"/>
      <c r="I115" s="18" t="n"/>
      <c r="J115" s="12">
        <f>IF(AND(ISNUMBER(F115),I115&lt;&gt;""),IFERROR(IF(AND(INDEX(Брони!$F$2:$F$500,MATCH(F115,Брони!$A$2:$A$500,0))="Возвращена",I115&gt;INDEX(Брони!$E$2:$E$500,MATCH(F115,Брони!$A$2:$A$500,0))),"Да",""),""),"")</f>
        <v/>
      </c>
      <c r="K115" s="10" t="n"/>
      <c r="L115" s="14" t="n"/>
      <c r="M115" s="15">
        <f>IF(OR(A115="",B115=""),"",IF(AND(ISNUMBER(F115),H115&lt;&gt;"Компания"),D115+L115,0))</f>
        <v/>
      </c>
      <c r="N115" s="21">
        <f>SUMPRODUCT(MAX((Брони!$B$2:$B$500=B115)*((Брони!$F$2:$F$500="Выдана")+(Брони!$F$2:$F$500="Возвращена"))*(Брони!$D$2:$D$500&lt;=A115)*Брони!$D$2:$D$500))</f>
        <v/>
      </c>
      <c r="O115" s="19">
        <f>SUMPRODUCT((Брони!$B$2:$B$500=B115)*(Брони!$D$2:$D$500=N115)*((((Брони!$F$2:$F$500="Выдана")*NOW())+((Брони!$F$2:$F$500="Возвращена")*Брони!$E$2:$E$500))&gt;=A115)*Брони!$A$2:$A$500)</f>
        <v/>
      </c>
      <c r="P115" s="19">
        <f>SUMPRODUCT((Брони!$B$2:$B$500=B115)*(Брони!$D$2:$D$500=N115)*(((Брони!$F$2:$F$500="Выдана")+(Брони!$F$2:$F$500="Возвращена"))))</f>
        <v/>
      </c>
      <c r="Q115" s="10" t="n"/>
    </row>
    <row r="116">
      <c r="A116" s="11" t="n"/>
      <c r="B116" s="10" t="n"/>
      <c r="C116" s="10" t="n"/>
      <c r="D116" s="14" t="n"/>
      <c r="E116" s="10" t="n"/>
      <c r="F116" s="20">
        <f>IF(OR(A116="",B116=""),"",IF(OR(NOT(ISNUMBER(A116)),ISERROR(N116+O116+P116)),"Проверьте даты",IF(AND(N116&gt;0,P116&gt;1),"Дубль",IF(AND(N116&gt;0,O116&gt;0),O116,"Вне аренды"))))</f>
        <v/>
      </c>
      <c r="G116" s="12">
        <f>IF(ISNUMBER(F116),IFERROR(INDEX(Брони!$C$2:$C$500,MATCH(F116,Брони!$A$2:$A$500,0)),""),"")</f>
        <v/>
      </c>
      <c r="H116" s="10" t="n"/>
      <c r="I116" s="18" t="n"/>
      <c r="J116" s="12">
        <f>IF(AND(ISNUMBER(F116),I116&lt;&gt;""),IFERROR(IF(AND(INDEX(Брони!$F$2:$F$500,MATCH(F116,Брони!$A$2:$A$500,0))="Возвращена",I116&gt;INDEX(Брони!$E$2:$E$500,MATCH(F116,Брони!$A$2:$A$500,0))),"Да",""),""),"")</f>
        <v/>
      </c>
      <c r="K116" s="10" t="n"/>
      <c r="L116" s="14" t="n"/>
      <c r="M116" s="15">
        <f>IF(OR(A116="",B116=""),"",IF(AND(ISNUMBER(F116),H116&lt;&gt;"Компания"),D116+L116,0))</f>
        <v/>
      </c>
      <c r="N116" s="21">
        <f>SUMPRODUCT(MAX((Брони!$B$2:$B$500=B116)*((Брони!$F$2:$F$500="Выдана")+(Брони!$F$2:$F$500="Возвращена"))*(Брони!$D$2:$D$500&lt;=A116)*Брони!$D$2:$D$500))</f>
        <v/>
      </c>
      <c r="O116" s="19">
        <f>SUMPRODUCT((Брони!$B$2:$B$500=B116)*(Брони!$D$2:$D$500=N116)*((((Брони!$F$2:$F$500="Выдана")*NOW())+((Брони!$F$2:$F$500="Возвращена")*Брони!$E$2:$E$500))&gt;=A116)*Брони!$A$2:$A$500)</f>
        <v/>
      </c>
      <c r="P116" s="19">
        <f>SUMPRODUCT((Брони!$B$2:$B$500=B116)*(Брони!$D$2:$D$500=N116)*(((Брони!$F$2:$F$500="Выдана")+(Брони!$F$2:$F$500="Возвращена"))))</f>
        <v/>
      </c>
      <c r="Q116" s="10" t="n"/>
    </row>
    <row r="117">
      <c r="A117" s="11" t="n"/>
      <c r="B117" s="10" t="n"/>
      <c r="C117" s="10" t="n"/>
      <c r="D117" s="14" t="n"/>
      <c r="E117" s="10" t="n"/>
      <c r="F117" s="20">
        <f>IF(OR(A117="",B117=""),"",IF(OR(NOT(ISNUMBER(A117)),ISERROR(N117+O117+P117)),"Проверьте даты",IF(AND(N117&gt;0,P117&gt;1),"Дубль",IF(AND(N117&gt;0,O117&gt;0),O117,"Вне аренды"))))</f>
        <v/>
      </c>
      <c r="G117" s="12">
        <f>IF(ISNUMBER(F117),IFERROR(INDEX(Брони!$C$2:$C$500,MATCH(F117,Брони!$A$2:$A$500,0)),""),"")</f>
        <v/>
      </c>
      <c r="H117" s="10" t="n"/>
      <c r="I117" s="18" t="n"/>
      <c r="J117" s="12">
        <f>IF(AND(ISNUMBER(F117),I117&lt;&gt;""),IFERROR(IF(AND(INDEX(Брони!$F$2:$F$500,MATCH(F117,Брони!$A$2:$A$500,0))="Возвращена",I117&gt;INDEX(Брони!$E$2:$E$500,MATCH(F117,Брони!$A$2:$A$500,0))),"Да",""),""),"")</f>
        <v/>
      </c>
      <c r="K117" s="10" t="n"/>
      <c r="L117" s="14" t="n"/>
      <c r="M117" s="15">
        <f>IF(OR(A117="",B117=""),"",IF(AND(ISNUMBER(F117),H117&lt;&gt;"Компания"),D117+L117,0))</f>
        <v/>
      </c>
      <c r="N117" s="21">
        <f>SUMPRODUCT(MAX((Брони!$B$2:$B$500=B117)*((Брони!$F$2:$F$500="Выдана")+(Брони!$F$2:$F$500="Возвращена"))*(Брони!$D$2:$D$500&lt;=A117)*Брони!$D$2:$D$500))</f>
        <v/>
      </c>
      <c r="O117" s="19">
        <f>SUMPRODUCT((Брони!$B$2:$B$500=B117)*(Брони!$D$2:$D$500=N117)*((((Брони!$F$2:$F$500="Выдана")*NOW())+((Брони!$F$2:$F$500="Возвращена")*Брони!$E$2:$E$500))&gt;=A117)*Брони!$A$2:$A$500)</f>
        <v/>
      </c>
      <c r="P117" s="19">
        <f>SUMPRODUCT((Брони!$B$2:$B$500=B117)*(Брони!$D$2:$D$500=N117)*(((Брони!$F$2:$F$500="Выдана")+(Брони!$F$2:$F$500="Возвращена"))))</f>
        <v/>
      </c>
      <c r="Q117" s="10" t="n"/>
    </row>
    <row r="118">
      <c r="A118" s="11" t="n"/>
      <c r="B118" s="10" t="n"/>
      <c r="C118" s="10" t="n"/>
      <c r="D118" s="14" t="n"/>
      <c r="E118" s="10" t="n"/>
      <c r="F118" s="20">
        <f>IF(OR(A118="",B118=""),"",IF(OR(NOT(ISNUMBER(A118)),ISERROR(N118+O118+P118)),"Проверьте даты",IF(AND(N118&gt;0,P118&gt;1),"Дубль",IF(AND(N118&gt;0,O118&gt;0),O118,"Вне аренды"))))</f>
        <v/>
      </c>
      <c r="G118" s="12">
        <f>IF(ISNUMBER(F118),IFERROR(INDEX(Брони!$C$2:$C$500,MATCH(F118,Брони!$A$2:$A$500,0)),""),"")</f>
        <v/>
      </c>
      <c r="H118" s="10" t="n"/>
      <c r="I118" s="18" t="n"/>
      <c r="J118" s="12">
        <f>IF(AND(ISNUMBER(F118),I118&lt;&gt;""),IFERROR(IF(AND(INDEX(Брони!$F$2:$F$500,MATCH(F118,Брони!$A$2:$A$500,0))="Возвращена",I118&gt;INDEX(Брони!$E$2:$E$500,MATCH(F118,Брони!$A$2:$A$500,0))),"Да",""),""),"")</f>
        <v/>
      </c>
      <c r="K118" s="10" t="n"/>
      <c r="L118" s="14" t="n"/>
      <c r="M118" s="15">
        <f>IF(OR(A118="",B118=""),"",IF(AND(ISNUMBER(F118),H118&lt;&gt;"Компания"),D118+L118,0))</f>
        <v/>
      </c>
      <c r="N118" s="21">
        <f>SUMPRODUCT(MAX((Брони!$B$2:$B$500=B118)*((Брони!$F$2:$F$500="Выдана")+(Брони!$F$2:$F$500="Возвращена"))*(Брони!$D$2:$D$500&lt;=A118)*Брони!$D$2:$D$500))</f>
        <v/>
      </c>
      <c r="O118" s="19">
        <f>SUMPRODUCT((Брони!$B$2:$B$500=B118)*(Брони!$D$2:$D$500=N118)*((((Брони!$F$2:$F$500="Выдана")*NOW())+((Брони!$F$2:$F$500="Возвращена")*Брони!$E$2:$E$500))&gt;=A118)*Брони!$A$2:$A$500)</f>
        <v/>
      </c>
      <c r="P118" s="19">
        <f>SUMPRODUCT((Брони!$B$2:$B$500=B118)*(Брони!$D$2:$D$500=N118)*(((Брони!$F$2:$F$500="Выдана")+(Брони!$F$2:$F$500="Возвращена"))))</f>
        <v/>
      </c>
      <c r="Q118" s="10" t="n"/>
    </row>
    <row r="119">
      <c r="A119" s="11" t="n"/>
      <c r="B119" s="10" t="n"/>
      <c r="C119" s="10" t="n"/>
      <c r="D119" s="14" t="n"/>
      <c r="E119" s="10" t="n"/>
      <c r="F119" s="20">
        <f>IF(OR(A119="",B119=""),"",IF(OR(NOT(ISNUMBER(A119)),ISERROR(N119+O119+P119)),"Проверьте даты",IF(AND(N119&gt;0,P119&gt;1),"Дубль",IF(AND(N119&gt;0,O119&gt;0),O119,"Вне аренды"))))</f>
        <v/>
      </c>
      <c r="G119" s="12">
        <f>IF(ISNUMBER(F119),IFERROR(INDEX(Брони!$C$2:$C$500,MATCH(F119,Брони!$A$2:$A$500,0)),""),"")</f>
        <v/>
      </c>
      <c r="H119" s="10" t="n"/>
      <c r="I119" s="18" t="n"/>
      <c r="J119" s="12">
        <f>IF(AND(ISNUMBER(F119),I119&lt;&gt;""),IFERROR(IF(AND(INDEX(Брони!$F$2:$F$500,MATCH(F119,Брони!$A$2:$A$500,0))="Возвращена",I119&gt;INDEX(Брони!$E$2:$E$500,MATCH(F119,Брони!$A$2:$A$500,0))),"Да",""),""),"")</f>
        <v/>
      </c>
      <c r="K119" s="10" t="n"/>
      <c r="L119" s="14" t="n"/>
      <c r="M119" s="15">
        <f>IF(OR(A119="",B119=""),"",IF(AND(ISNUMBER(F119),H119&lt;&gt;"Компания"),D119+L119,0))</f>
        <v/>
      </c>
      <c r="N119" s="21">
        <f>SUMPRODUCT(MAX((Брони!$B$2:$B$500=B119)*((Брони!$F$2:$F$500="Выдана")+(Брони!$F$2:$F$500="Возвращена"))*(Брони!$D$2:$D$500&lt;=A119)*Брони!$D$2:$D$500))</f>
        <v/>
      </c>
      <c r="O119" s="19">
        <f>SUMPRODUCT((Брони!$B$2:$B$500=B119)*(Брони!$D$2:$D$500=N119)*((((Брони!$F$2:$F$500="Выдана")*NOW())+((Брони!$F$2:$F$500="Возвращена")*Брони!$E$2:$E$500))&gt;=A119)*Брони!$A$2:$A$500)</f>
        <v/>
      </c>
      <c r="P119" s="19">
        <f>SUMPRODUCT((Брони!$B$2:$B$500=B119)*(Брони!$D$2:$D$500=N119)*(((Брони!$F$2:$F$500="Выдана")+(Брони!$F$2:$F$500="Возвращена"))))</f>
        <v/>
      </c>
      <c r="Q119" s="10" t="n"/>
    </row>
    <row r="120">
      <c r="A120" s="11" t="n"/>
      <c r="B120" s="10" t="n"/>
      <c r="C120" s="10" t="n"/>
      <c r="D120" s="14" t="n"/>
      <c r="E120" s="10" t="n"/>
      <c r="F120" s="20">
        <f>IF(OR(A120="",B120=""),"",IF(OR(NOT(ISNUMBER(A120)),ISERROR(N120+O120+P120)),"Проверьте даты",IF(AND(N120&gt;0,P120&gt;1),"Дубль",IF(AND(N120&gt;0,O120&gt;0),O120,"Вне аренды"))))</f>
        <v/>
      </c>
      <c r="G120" s="12">
        <f>IF(ISNUMBER(F120),IFERROR(INDEX(Брони!$C$2:$C$500,MATCH(F120,Брони!$A$2:$A$500,0)),""),"")</f>
        <v/>
      </c>
      <c r="H120" s="10" t="n"/>
      <c r="I120" s="18" t="n"/>
      <c r="J120" s="12">
        <f>IF(AND(ISNUMBER(F120),I120&lt;&gt;""),IFERROR(IF(AND(INDEX(Брони!$F$2:$F$500,MATCH(F120,Брони!$A$2:$A$500,0))="Возвращена",I120&gt;INDEX(Брони!$E$2:$E$500,MATCH(F120,Брони!$A$2:$A$500,0))),"Да",""),""),"")</f>
        <v/>
      </c>
      <c r="K120" s="10" t="n"/>
      <c r="L120" s="14" t="n"/>
      <c r="M120" s="15">
        <f>IF(OR(A120="",B120=""),"",IF(AND(ISNUMBER(F120),H120&lt;&gt;"Компания"),D120+L120,0))</f>
        <v/>
      </c>
      <c r="N120" s="21">
        <f>SUMPRODUCT(MAX((Брони!$B$2:$B$500=B120)*((Брони!$F$2:$F$500="Выдана")+(Брони!$F$2:$F$500="Возвращена"))*(Брони!$D$2:$D$500&lt;=A120)*Брони!$D$2:$D$500))</f>
        <v/>
      </c>
      <c r="O120" s="19">
        <f>SUMPRODUCT((Брони!$B$2:$B$500=B120)*(Брони!$D$2:$D$500=N120)*((((Брони!$F$2:$F$500="Выдана")*NOW())+((Брони!$F$2:$F$500="Возвращена")*Брони!$E$2:$E$500))&gt;=A120)*Брони!$A$2:$A$500)</f>
        <v/>
      </c>
      <c r="P120" s="19">
        <f>SUMPRODUCT((Брони!$B$2:$B$500=B120)*(Брони!$D$2:$D$500=N120)*(((Брони!$F$2:$F$500="Выдана")+(Брони!$F$2:$F$500="Возвращена"))))</f>
        <v/>
      </c>
      <c r="Q120" s="10" t="n"/>
    </row>
    <row r="121">
      <c r="A121" s="11" t="n"/>
      <c r="B121" s="10" t="n"/>
      <c r="C121" s="10" t="n"/>
      <c r="D121" s="14" t="n"/>
      <c r="E121" s="10" t="n"/>
      <c r="F121" s="20">
        <f>IF(OR(A121="",B121=""),"",IF(OR(NOT(ISNUMBER(A121)),ISERROR(N121+O121+P121)),"Проверьте даты",IF(AND(N121&gt;0,P121&gt;1),"Дубль",IF(AND(N121&gt;0,O121&gt;0),O121,"Вне аренды"))))</f>
        <v/>
      </c>
      <c r="G121" s="12">
        <f>IF(ISNUMBER(F121),IFERROR(INDEX(Брони!$C$2:$C$500,MATCH(F121,Брони!$A$2:$A$500,0)),""),"")</f>
        <v/>
      </c>
      <c r="H121" s="10" t="n"/>
      <c r="I121" s="18" t="n"/>
      <c r="J121" s="12">
        <f>IF(AND(ISNUMBER(F121),I121&lt;&gt;""),IFERROR(IF(AND(INDEX(Брони!$F$2:$F$500,MATCH(F121,Брони!$A$2:$A$500,0))="Возвращена",I121&gt;INDEX(Брони!$E$2:$E$500,MATCH(F121,Брони!$A$2:$A$500,0))),"Да",""),""),"")</f>
        <v/>
      </c>
      <c r="K121" s="10" t="n"/>
      <c r="L121" s="14" t="n"/>
      <c r="M121" s="15">
        <f>IF(OR(A121="",B121=""),"",IF(AND(ISNUMBER(F121),H121&lt;&gt;"Компания"),D121+L121,0))</f>
        <v/>
      </c>
      <c r="N121" s="21">
        <f>SUMPRODUCT(MAX((Брони!$B$2:$B$500=B121)*((Брони!$F$2:$F$500="Выдана")+(Брони!$F$2:$F$500="Возвращена"))*(Брони!$D$2:$D$500&lt;=A121)*Брони!$D$2:$D$500))</f>
        <v/>
      </c>
      <c r="O121" s="19">
        <f>SUMPRODUCT((Брони!$B$2:$B$500=B121)*(Брони!$D$2:$D$500=N121)*((((Брони!$F$2:$F$500="Выдана")*NOW())+((Брони!$F$2:$F$500="Возвращена")*Брони!$E$2:$E$500))&gt;=A121)*Брони!$A$2:$A$500)</f>
        <v/>
      </c>
      <c r="P121" s="19">
        <f>SUMPRODUCT((Брони!$B$2:$B$500=B121)*(Брони!$D$2:$D$500=N121)*(((Брони!$F$2:$F$500="Выдана")+(Брони!$F$2:$F$500="Возвращена"))))</f>
        <v/>
      </c>
      <c r="Q121" s="10" t="n"/>
    </row>
    <row r="122">
      <c r="A122" s="11" t="n"/>
      <c r="B122" s="10" t="n"/>
      <c r="C122" s="10" t="n"/>
      <c r="D122" s="14" t="n"/>
      <c r="E122" s="10" t="n"/>
      <c r="F122" s="20">
        <f>IF(OR(A122="",B122=""),"",IF(OR(NOT(ISNUMBER(A122)),ISERROR(N122+O122+P122)),"Проверьте даты",IF(AND(N122&gt;0,P122&gt;1),"Дубль",IF(AND(N122&gt;0,O122&gt;0),O122,"Вне аренды"))))</f>
        <v/>
      </c>
      <c r="G122" s="12">
        <f>IF(ISNUMBER(F122),IFERROR(INDEX(Брони!$C$2:$C$500,MATCH(F122,Брони!$A$2:$A$500,0)),""),"")</f>
        <v/>
      </c>
      <c r="H122" s="10" t="n"/>
      <c r="I122" s="18" t="n"/>
      <c r="J122" s="12">
        <f>IF(AND(ISNUMBER(F122),I122&lt;&gt;""),IFERROR(IF(AND(INDEX(Брони!$F$2:$F$500,MATCH(F122,Брони!$A$2:$A$500,0))="Возвращена",I122&gt;INDEX(Брони!$E$2:$E$500,MATCH(F122,Брони!$A$2:$A$500,0))),"Да",""),""),"")</f>
        <v/>
      </c>
      <c r="K122" s="10" t="n"/>
      <c r="L122" s="14" t="n"/>
      <c r="M122" s="15">
        <f>IF(OR(A122="",B122=""),"",IF(AND(ISNUMBER(F122),H122&lt;&gt;"Компания"),D122+L122,0))</f>
        <v/>
      </c>
      <c r="N122" s="21">
        <f>SUMPRODUCT(MAX((Брони!$B$2:$B$500=B122)*((Брони!$F$2:$F$500="Выдана")+(Брони!$F$2:$F$500="Возвращена"))*(Брони!$D$2:$D$500&lt;=A122)*Брони!$D$2:$D$500))</f>
        <v/>
      </c>
      <c r="O122" s="19">
        <f>SUMPRODUCT((Брони!$B$2:$B$500=B122)*(Брони!$D$2:$D$500=N122)*((((Брони!$F$2:$F$500="Выдана")*NOW())+((Брони!$F$2:$F$500="Возвращена")*Брони!$E$2:$E$500))&gt;=A122)*Брони!$A$2:$A$500)</f>
        <v/>
      </c>
      <c r="P122" s="19">
        <f>SUMPRODUCT((Брони!$B$2:$B$500=B122)*(Брони!$D$2:$D$500=N122)*(((Брони!$F$2:$F$500="Выдана")+(Брони!$F$2:$F$500="Возвращена"))))</f>
        <v/>
      </c>
      <c r="Q122" s="10" t="n"/>
    </row>
    <row r="123">
      <c r="A123" s="11" t="n"/>
      <c r="B123" s="10" t="n"/>
      <c r="C123" s="10" t="n"/>
      <c r="D123" s="14" t="n"/>
      <c r="E123" s="10" t="n"/>
      <c r="F123" s="20">
        <f>IF(OR(A123="",B123=""),"",IF(OR(NOT(ISNUMBER(A123)),ISERROR(N123+O123+P123)),"Проверьте даты",IF(AND(N123&gt;0,P123&gt;1),"Дубль",IF(AND(N123&gt;0,O123&gt;0),O123,"Вне аренды"))))</f>
        <v/>
      </c>
      <c r="G123" s="12">
        <f>IF(ISNUMBER(F123),IFERROR(INDEX(Брони!$C$2:$C$500,MATCH(F123,Брони!$A$2:$A$500,0)),""),"")</f>
        <v/>
      </c>
      <c r="H123" s="10" t="n"/>
      <c r="I123" s="18" t="n"/>
      <c r="J123" s="12">
        <f>IF(AND(ISNUMBER(F123),I123&lt;&gt;""),IFERROR(IF(AND(INDEX(Брони!$F$2:$F$500,MATCH(F123,Брони!$A$2:$A$500,0))="Возвращена",I123&gt;INDEX(Брони!$E$2:$E$500,MATCH(F123,Брони!$A$2:$A$500,0))),"Да",""),""),"")</f>
        <v/>
      </c>
      <c r="K123" s="10" t="n"/>
      <c r="L123" s="14" t="n"/>
      <c r="M123" s="15">
        <f>IF(OR(A123="",B123=""),"",IF(AND(ISNUMBER(F123),H123&lt;&gt;"Компания"),D123+L123,0))</f>
        <v/>
      </c>
      <c r="N123" s="21">
        <f>SUMPRODUCT(MAX((Брони!$B$2:$B$500=B123)*((Брони!$F$2:$F$500="Выдана")+(Брони!$F$2:$F$500="Возвращена"))*(Брони!$D$2:$D$500&lt;=A123)*Брони!$D$2:$D$500))</f>
        <v/>
      </c>
      <c r="O123" s="19">
        <f>SUMPRODUCT((Брони!$B$2:$B$500=B123)*(Брони!$D$2:$D$500=N123)*((((Брони!$F$2:$F$500="Выдана")*NOW())+((Брони!$F$2:$F$500="Возвращена")*Брони!$E$2:$E$500))&gt;=A123)*Брони!$A$2:$A$500)</f>
        <v/>
      </c>
      <c r="P123" s="19">
        <f>SUMPRODUCT((Брони!$B$2:$B$500=B123)*(Брони!$D$2:$D$500=N123)*(((Брони!$F$2:$F$500="Выдана")+(Брони!$F$2:$F$500="Возвращена"))))</f>
        <v/>
      </c>
      <c r="Q123" s="10" t="n"/>
    </row>
    <row r="124">
      <c r="A124" s="11" t="n"/>
      <c r="B124" s="10" t="n"/>
      <c r="C124" s="10" t="n"/>
      <c r="D124" s="14" t="n"/>
      <c r="E124" s="10" t="n"/>
      <c r="F124" s="20">
        <f>IF(OR(A124="",B124=""),"",IF(OR(NOT(ISNUMBER(A124)),ISERROR(N124+O124+P124)),"Проверьте даты",IF(AND(N124&gt;0,P124&gt;1),"Дубль",IF(AND(N124&gt;0,O124&gt;0),O124,"Вне аренды"))))</f>
        <v/>
      </c>
      <c r="G124" s="12">
        <f>IF(ISNUMBER(F124),IFERROR(INDEX(Брони!$C$2:$C$500,MATCH(F124,Брони!$A$2:$A$500,0)),""),"")</f>
        <v/>
      </c>
      <c r="H124" s="10" t="n"/>
      <c r="I124" s="18" t="n"/>
      <c r="J124" s="12">
        <f>IF(AND(ISNUMBER(F124),I124&lt;&gt;""),IFERROR(IF(AND(INDEX(Брони!$F$2:$F$500,MATCH(F124,Брони!$A$2:$A$500,0))="Возвращена",I124&gt;INDEX(Брони!$E$2:$E$500,MATCH(F124,Брони!$A$2:$A$500,0))),"Да",""),""),"")</f>
        <v/>
      </c>
      <c r="K124" s="10" t="n"/>
      <c r="L124" s="14" t="n"/>
      <c r="M124" s="15">
        <f>IF(OR(A124="",B124=""),"",IF(AND(ISNUMBER(F124),H124&lt;&gt;"Компания"),D124+L124,0))</f>
        <v/>
      </c>
      <c r="N124" s="21">
        <f>SUMPRODUCT(MAX((Брони!$B$2:$B$500=B124)*((Брони!$F$2:$F$500="Выдана")+(Брони!$F$2:$F$500="Возвращена"))*(Брони!$D$2:$D$500&lt;=A124)*Брони!$D$2:$D$500))</f>
        <v/>
      </c>
      <c r="O124" s="19">
        <f>SUMPRODUCT((Брони!$B$2:$B$500=B124)*(Брони!$D$2:$D$500=N124)*((((Брони!$F$2:$F$500="Выдана")*NOW())+((Брони!$F$2:$F$500="Возвращена")*Брони!$E$2:$E$500))&gt;=A124)*Брони!$A$2:$A$500)</f>
        <v/>
      </c>
      <c r="P124" s="19">
        <f>SUMPRODUCT((Брони!$B$2:$B$500=B124)*(Брони!$D$2:$D$500=N124)*(((Брони!$F$2:$F$500="Выдана")+(Брони!$F$2:$F$500="Возвращена"))))</f>
        <v/>
      </c>
      <c r="Q124" s="10" t="n"/>
    </row>
    <row r="125">
      <c r="A125" s="11" t="n"/>
      <c r="B125" s="10" t="n"/>
      <c r="C125" s="10" t="n"/>
      <c r="D125" s="14" t="n"/>
      <c r="E125" s="10" t="n"/>
      <c r="F125" s="20">
        <f>IF(OR(A125="",B125=""),"",IF(OR(NOT(ISNUMBER(A125)),ISERROR(N125+O125+P125)),"Проверьте даты",IF(AND(N125&gt;0,P125&gt;1),"Дубль",IF(AND(N125&gt;0,O125&gt;0),O125,"Вне аренды"))))</f>
        <v/>
      </c>
      <c r="G125" s="12">
        <f>IF(ISNUMBER(F125),IFERROR(INDEX(Брони!$C$2:$C$500,MATCH(F125,Брони!$A$2:$A$500,0)),""),"")</f>
        <v/>
      </c>
      <c r="H125" s="10" t="n"/>
      <c r="I125" s="18" t="n"/>
      <c r="J125" s="12">
        <f>IF(AND(ISNUMBER(F125),I125&lt;&gt;""),IFERROR(IF(AND(INDEX(Брони!$F$2:$F$500,MATCH(F125,Брони!$A$2:$A$500,0))="Возвращена",I125&gt;INDEX(Брони!$E$2:$E$500,MATCH(F125,Брони!$A$2:$A$500,0))),"Да",""),""),"")</f>
        <v/>
      </c>
      <c r="K125" s="10" t="n"/>
      <c r="L125" s="14" t="n"/>
      <c r="M125" s="15">
        <f>IF(OR(A125="",B125=""),"",IF(AND(ISNUMBER(F125),H125&lt;&gt;"Компания"),D125+L125,0))</f>
        <v/>
      </c>
      <c r="N125" s="21">
        <f>SUMPRODUCT(MAX((Брони!$B$2:$B$500=B125)*((Брони!$F$2:$F$500="Выдана")+(Брони!$F$2:$F$500="Возвращена"))*(Брони!$D$2:$D$500&lt;=A125)*Брони!$D$2:$D$500))</f>
        <v/>
      </c>
      <c r="O125" s="19">
        <f>SUMPRODUCT((Брони!$B$2:$B$500=B125)*(Брони!$D$2:$D$500=N125)*((((Брони!$F$2:$F$500="Выдана")*NOW())+((Брони!$F$2:$F$500="Возвращена")*Брони!$E$2:$E$500))&gt;=A125)*Брони!$A$2:$A$500)</f>
        <v/>
      </c>
      <c r="P125" s="19">
        <f>SUMPRODUCT((Брони!$B$2:$B$500=B125)*(Брони!$D$2:$D$500=N125)*(((Брони!$F$2:$F$500="Выдана")+(Брони!$F$2:$F$500="Возвращена"))))</f>
        <v/>
      </c>
      <c r="Q125" s="10" t="n"/>
    </row>
    <row r="126">
      <c r="A126" s="11" t="n"/>
      <c r="B126" s="10" t="n"/>
      <c r="C126" s="10" t="n"/>
      <c r="D126" s="14" t="n"/>
      <c r="E126" s="10" t="n"/>
      <c r="F126" s="20">
        <f>IF(OR(A126="",B126=""),"",IF(OR(NOT(ISNUMBER(A126)),ISERROR(N126+O126+P126)),"Проверьте даты",IF(AND(N126&gt;0,P126&gt;1),"Дубль",IF(AND(N126&gt;0,O126&gt;0),O126,"Вне аренды"))))</f>
        <v/>
      </c>
      <c r="G126" s="12">
        <f>IF(ISNUMBER(F126),IFERROR(INDEX(Брони!$C$2:$C$500,MATCH(F126,Брони!$A$2:$A$500,0)),""),"")</f>
        <v/>
      </c>
      <c r="H126" s="10" t="n"/>
      <c r="I126" s="18" t="n"/>
      <c r="J126" s="12">
        <f>IF(AND(ISNUMBER(F126),I126&lt;&gt;""),IFERROR(IF(AND(INDEX(Брони!$F$2:$F$500,MATCH(F126,Брони!$A$2:$A$500,0))="Возвращена",I126&gt;INDEX(Брони!$E$2:$E$500,MATCH(F126,Брони!$A$2:$A$500,0))),"Да",""),""),"")</f>
        <v/>
      </c>
      <c r="K126" s="10" t="n"/>
      <c r="L126" s="14" t="n"/>
      <c r="M126" s="15">
        <f>IF(OR(A126="",B126=""),"",IF(AND(ISNUMBER(F126),H126&lt;&gt;"Компания"),D126+L126,0))</f>
        <v/>
      </c>
      <c r="N126" s="21">
        <f>SUMPRODUCT(MAX((Брони!$B$2:$B$500=B126)*((Брони!$F$2:$F$500="Выдана")+(Брони!$F$2:$F$500="Возвращена"))*(Брони!$D$2:$D$500&lt;=A126)*Брони!$D$2:$D$500))</f>
        <v/>
      </c>
      <c r="O126" s="19">
        <f>SUMPRODUCT((Брони!$B$2:$B$500=B126)*(Брони!$D$2:$D$500=N126)*((((Брони!$F$2:$F$500="Выдана")*NOW())+((Брони!$F$2:$F$500="Возвращена")*Брони!$E$2:$E$500))&gt;=A126)*Брони!$A$2:$A$500)</f>
        <v/>
      </c>
      <c r="P126" s="19">
        <f>SUMPRODUCT((Брони!$B$2:$B$500=B126)*(Брони!$D$2:$D$500=N126)*(((Брони!$F$2:$F$500="Выдана")+(Брони!$F$2:$F$500="Возвращена"))))</f>
        <v/>
      </c>
      <c r="Q126" s="10" t="n"/>
    </row>
    <row r="127">
      <c r="A127" s="11" t="n"/>
      <c r="B127" s="10" t="n"/>
      <c r="C127" s="10" t="n"/>
      <c r="D127" s="14" t="n"/>
      <c r="E127" s="10" t="n"/>
      <c r="F127" s="20">
        <f>IF(OR(A127="",B127=""),"",IF(OR(NOT(ISNUMBER(A127)),ISERROR(N127+O127+P127)),"Проверьте даты",IF(AND(N127&gt;0,P127&gt;1),"Дубль",IF(AND(N127&gt;0,O127&gt;0),O127,"Вне аренды"))))</f>
        <v/>
      </c>
      <c r="G127" s="12">
        <f>IF(ISNUMBER(F127),IFERROR(INDEX(Брони!$C$2:$C$500,MATCH(F127,Брони!$A$2:$A$500,0)),""),"")</f>
        <v/>
      </c>
      <c r="H127" s="10" t="n"/>
      <c r="I127" s="18" t="n"/>
      <c r="J127" s="12">
        <f>IF(AND(ISNUMBER(F127),I127&lt;&gt;""),IFERROR(IF(AND(INDEX(Брони!$F$2:$F$500,MATCH(F127,Брони!$A$2:$A$500,0))="Возвращена",I127&gt;INDEX(Брони!$E$2:$E$500,MATCH(F127,Брони!$A$2:$A$500,0))),"Да",""),""),"")</f>
        <v/>
      </c>
      <c r="K127" s="10" t="n"/>
      <c r="L127" s="14" t="n"/>
      <c r="M127" s="15">
        <f>IF(OR(A127="",B127=""),"",IF(AND(ISNUMBER(F127),H127&lt;&gt;"Компания"),D127+L127,0))</f>
        <v/>
      </c>
      <c r="N127" s="21">
        <f>SUMPRODUCT(MAX((Брони!$B$2:$B$500=B127)*((Брони!$F$2:$F$500="Выдана")+(Брони!$F$2:$F$500="Возвращена"))*(Брони!$D$2:$D$500&lt;=A127)*Брони!$D$2:$D$500))</f>
        <v/>
      </c>
      <c r="O127" s="19">
        <f>SUMPRODUCT((Брони!$B$2:$B$500=B127)*(Брони!$D$2:$D$500=N127)*((((Брони!$F$2:$F$500="Выдана")*NOW())+((Брони!$F$2:$F$500="Возвращена")*Брони!$E$2:$E$500))&gt;=A127)*Брони!$A$2:$A$500)</f>
        <v/>
      </c>
      <c r="P127" s="19">
        <f>SUMPRODUCT((Брони!$B$2:$B$500=B127)*(Брони!$D$2:$D$500=N127)*(((Брони!$F$2:$F$500="Выдана")+(Брони!$F$2:$F$500="Возвращена"))))</f>
        <v/>
      </c>
      <c r="Q127" s="10" t="n"/>
    </row>
    <row r="128">
      <c r="A128" s="11" t="n"/>
      <c r="B128" s="10" t="n"/>
      <c r="C128" s="10" t="n"/>
      <c r="D128" s="14" t="n"/>
      <c r="E128" s="10" t="n"/>
      <c r="F128" s="20">
        <f>IF(OR(A128="",B128=""),"",IF(OR(NOT(ISNUMBER(A128)),ISERROR(N128+O128+P128)),"Проверьте даты",IF(AND(N128&gt;0,P128&gt;1),"Дубль",IF(AND(N128&gt;0,O128&gt;0),O128,"Вне аренды"))))</f>
        <v/>
      </c>
      <c r="G128" s="12">
        <f>IF(ISNUMBER(F128),IFERROR(INDEX(Брони!$C$2:$C$500,MATCH(F128,Брони!$A$2:$A$500,0)),""),"")</f>
        <v/>
      </c>
      <c r="H128" s="10" t="n"/>
      <c r="I128" s="18" t="n"/>
      <c r="J128" s="12">
        <f>IF(AND(ISNUMBER(F128),I128&lt;&gt;""),IFERROR(IF(AND(INDEX(Брони!$F$2:$F$500,MATCH(F128,Брони!$A$2:$A$500,0))="Возвращена",I128&gt;INDEX(Брони!$E$2:$E$500,MATCH(F128,Брони!$A$2:$A$500,0))),"Да",""),""),"")</f>
        <v/>
      </c>
      <c r="K128" s="10" t="n"/>
      <c r="L128" s="14" t="n"/>
      <c r="M128" s="15">
        <f>IF(OR(A128="",B128=""),"",IF(AND(ISNUMBER(F128),H128&lt;&gt;"Компания"),D128+L128,0))</f>
        <v/>
      </c>
      <c r="N128" s="21">
        <f>SUMPRODUCT(MAX((Брони!$B$2:$B$500=B128)*((Брони!$F$2:$F$500="Выдана")+(Брони!$F$2:$F$500="Возвращена"))*(Брони!$D$2:$D$500&lt;=A128)*Брони!$D$2:$D$500))</f>
        <v/>
      </c>
      <c r="O128" s="19">
        <f>SUMPRODUCT((Брони!$B$2:$B$500=B128)*(Брони!$D$2:$D$500=N128)*((((Брони!$F$2:$F$500="Выдана")*NOW())+((Брони!$F$2:$F$500="Возвращена")*Брони!$E$2:$E$500))&gt;=A128)*Брони!$A$2:$A$500)</f>
        <v/>
      </c>
      <c r="P128" s="19">
        <f>SUMPRODUCT((Брони!$B$2:$B$500=B128)*(Брони!$D$2:$D$500=N128)*(((Брони!$F$2:$F$500="Выдана")+(Брони!$F$2:$F$500="Возвращена"))))</f>
        <v/>
      </c>
      <c r="Q128" s="10" t="n"/>
    </row>
    <row r="129">
      <c r="A129" s="11" t="n"/>
      <c r="B129" s="10" t="n"/>
      <c r="C129" s="10" t="n"/>
      <c r="D129" s="14" t="n"/>
      <c r="E129" s="10" t="n"/>
      <c r="F129" s="20">
        <f>IF(OR(A129="",B129=""),"",IF(OR(NOT(ISNUMBER(A129)),ISERROR(N129+O129+P129)),"Проверьте даты",IF(AND(N129&gt;0,P129&gt;1),"Дубль",IF(AND(N129&gt;0,O129&gt;0),O129,"Вне аренды"))))</f>
        <v/>
      </c>
      <c r="G129" s="12">
        <f>IF(ISNUMBER(F129),IFERROR(INDEX(Брони!$C$2:$C$500,MATCH(F129,Брони!$A$2:$A$500,0)),""),"")</f>
        <v/>
      </c>
      <c r="H129" s="10" t="n"/>
      <c r="I129" s="18" t="n"/>
      <c r="J129" s="12">
        <f>IF(AND(ISNUMBER(F129),I129&lt;&gt;""),IFERROR(IF(AND(INDEX(Брони!$F$2:$F$500,MATCH(F129,Брони!$A$2:$A$500,0))="Возвращена",I129&gt;INDEX(Брони!$E$2:$E$500,MATCH(F129,Брони!$A$2:$A$500,0))),"Да",""),""),"")</f>
        <v/>
      </c>
      <c r="K129" s="10" t="n"/>
      <c r="L129" s="14" t="n"/>
      <c r="M129" s="15">
        <f>IF(OR(A129="",B129=""),"",IF(AND(ISNUMBER(F129),H129&lt;&gt;"Компания"),D129+L129,0))</f>
        <v/>
      </c>
      <c r="N129" s="21">
        <f>SUMPRODUCT(MAX((Брони!$B$2:$B$500=B129)*((Брони!$F$2:$F$500="Выдана")+(Брони!$F$2:$F$500="Возвращена"))*(Брони!$D$2:$D$500&lt;=A129)*Брони!$D$2:$D$500))</f>
        <v/>
      </c>
      <c r="O129" s="19">
        <f>SUMPRODUCT((Брони!$B$2:$B$500=B129)*(Брони!$D$2:$D$500=N129)*((((Брони!$F$2:$F$500="Выдана")*NOW())+((Брони!$F$2:$F$500="Возвращена")*Брони!$E$2:$E$500))&gt;=A129)*Брони!$A$2:$A$500)</f>
        <v/>
      </c>
      <c r="P129" s="19">
        <f>SUMPRODUCT((Брони!$B$2:$B$500=B129)*(Брони!$D$2:$D$500=N129)*(((Брони!$F$2:$F$500="Выдана")+(Брони!$F$2:$F$500="Возвращена"))))</f>
        <v/>
      </c>
      <c r="Q129" s="10" t="n"/>
    </row>
    <row r="130">
      <c r="A130" s="11" t="n"/>
      <c r="B130" s="10" t="n"/>
      <c r="C130" s="10" t="n"/>
      <c r="D130" s="14" t="n"/>
      <c r="E130" s="10" t="n"/>
      <c r="F130" s="20">
        <f>IF(OR(A130="",B130=""),"",IF(OR(NOT(ISNUMBER(A130)),ISERROR(N130+O130+P130)),"Проверьте даты",IF(AND(N130&gt;0,P130&gt;1),"Дубль",IF(AND(N130&gt;0,O130&gt;0),O130,"Вне аренды"))))</f>
        <v/>
      </c>
      <c r="G130" s="12">
        <f>IF(ISNUMBER(F130),IFERROR(INDEX(Брони!$C$2:$C$500,MATCH(F130,Брони!$A$2:$A$500,0)),""),"")</f>
        <v/>
      </c>
      <c r="H130" s="10" t="n"/>
      <c r="I130" s="18" t="n"/>
      <c r="J130" s="12">
        <f>IF(AND(ISNUMBER(F130),I130&lt;&gt;""),IFERROR(IF(AND(INDEX(Брони!$F$2:$F$500,MATCH(F130,Брони!$A$2:$A$500,0))="Возвращена",I130&gt;INDEX(Брони!$E$2:$E$500,MATCH(F130,Брони!$A$2:$A$500,0))),"Да",""),""),"")</f>
        <v/>
      </c>
      <c r="K130" s="10" t="n"/>
      <c r="L130" s="14" t="n"/>
      <c r="M130" s="15">
        <f>IF(OR(A130="",B130=""),"",IF(AND(ISNUMBER(F130),H130&lt;&gt;"Компания"),D130+L130,0))</f>
        <v/>
      </c>
      <c r="N130" s="21">
        <f>SUMPRODUCT(MAX((Брони!$B$2:$B$500=B130)*((Брони!$F$2:$F$500="Выдана")+(Брони!$F$2:$F$500="Возвращена"))*(Брони!$D$2:$D$500&lt;=A130)*Брони!$D$2:$D$500))</f>
        <v/>
      </c>
      <c r="O130" s="19">
        <f>SUMPRODUCT((Брони!$B$2:$B$500=B130)*(Брони!$D$2:$D$500=N130)*((((Брони!$F$2:$F$500="Выдана")*NOW())+((Брони!$F$2:$F$500="Возвращена")*Брони!$E$2:$E$500))&gt;=A130)*Брони!$A$2:$A$500)</f>
        <v/>
      </c>
      <c r="P130" s="19">
        <f>SUMPRODUCT((Брони!$B$2:$B$500=B130)*(Брони!$D$2:$D$500=N130)*(((Брони!$F$2:$F$500="Выдана")+(Брони!$F$2:$F$500="Возвращена"))))</f>
        <v/>
      </c>
      <c r="Q130" s="10" t="n"/>
    </row>
    <row r="131">
      <c r="A131" s="11" t="n"/>
      <c r="B131" s="10" t="n"/>
      <c r="C131" s="10" t="n"/>
      <c r="D131" s="14" t="n"/>
      <c r="E131" s="10" t="n"/>
      <c r="F131" s="20">
        <f>IF(OR(A131="",B131=""),"",IF(OR(NOT(ISNUMBER(A131)),ISERROR(N131+O131+P131)),"Проверьте даты",IF(AND(N131&gt;0,P131&gt;1),"Дубль",IF(AND(N131&gt;0,O131&gt;0),O131,"Вне аренды"))))</f>
        <v/>
      </c>
      <c r="G131" s="12">
        <f>IF(ISNUMBER(F131),IFERROR(INDEX(Брони!$C$2:$C$500,MATCH(F131,Брони!$A$2:$A$500,0)),""),"")</f>
        <v/>
      </c>
      <c r="H131" s="10" t="n"/>
      <c r="I131" s="18" t="n"/>
      <c r="J131" s="12">
        <f>IF(AND(ISNUMBER(F131),I131&lt;&gt;""),IFERROR(IF(AND(INDEX(Брони!$F$2:$F$500,MATCH(F131,Брони!$A$2:$A$500,0))="Возвращена",I131&gt;INDEX(Брони!$E$2:$E$500,MATCH(F131,Брони!$A$2:$A$500,0))),"Да",""),""),"")</f>
        <v/>
      </c>
      <c r="K131" s="10" t="n"/>
      <c r="L131" s="14" t="n"/>
      <c r="M131" s="15">
        <f>IF(OR(A131="",B131=""),"",IF(AND(ISNUMBER(F131),H131&lt;&gt;"Компания"),D131+L131,0))</f>
        <v/>
      </c>
      <c r="N131" s="21">
        <f>SUMPRODUCT(MAX((Брони!$B$2:$B$500=B131)*((Брони!$F$2:$F$500="Выдана")+(Брони!$F$2:$F$500="Возвращена"))*(Брони!$D$2:$D$500&lt;=A131)*Брони!$D$2:$D$500))</f>
        <v/>
      </c>
      <c r="O131" s="19">
        <f>SUMPRODUCT((Брони!$B$2:$B$500=B131)*(Брони!$D$2:$D$500=N131)*((((Брони!$F$2:$F$500="Выдана")*NOW())+((Брони!$F$2:$F$500="Возвращена")*Брони!$E$2:$E$500))&gt;=A131)*Брони!$A$2:$A$500)</f>
        <v/>
      </c>
      <c r="P131" s="19">
        <f>SUMPRODUCT((Брони!$B$2:$B$500=B131)*(Брони!$D$2:$D$500=N131)*(((Брони!$F$2:$F$500="Выдана")+(Брони!$F$2:$F$500="Возвращена"))))</f>
        <v/>
      </c>
      <c r="Q131" s="10" t="n"/>
    </row>
    <row r="132">
      <c r="A132" s="11" t="n"/>
      <c r="B132" s="10" t="n"/>
      <c r="C132" s="10" t="n"/>
      <c r="D132" s="14" t="n"/>
      <c r="E132" s="10" t="n"/>
      <c r="F132" s="20">
        <f>IF(OR(A132="",B132=""),"",IF(OR(NOT(ISNUMBER(A132)),ISERROR(N132+O132+P132)),"Проверьте даты",IF(AND(N132&gt;0,P132&gt;1),"Дубль",IF(AND(N132&gt;0,O132&gt;0),O132,"Вне аренды"))))</f>
        <v/>
      </c>
      <c r="G132" s="12">
        <f>IF(ISNUMBER(F132),IFERROR(INDEX(Брони!$C$2:$C$500,MATCH(F132,Брони!$A$2:$A$500,0)),""),"")</f>
        <v/>
      </c>
      <c r="H132" s="10" t="n"/>
      <c r="I132" s="18" t="n"/>
      <c r="J132" s="12">
        <f>IF(AND(ISNUMBER(F132),I132&lt;&gt;""),IFERROR(IF(AND(INDEX(Брони!$F$2:$F$500,MATCH(F132,Брони!$A$2:$A$500,0))="Возвращена",I132&gt;INDEX(Брони!$E$2:$E$500,MATCH(F132,Брони!$A$2:$A$500,0))),"Да",""),""),"")</f>
        <v/>
      </c>
      <c r="K132" s="10" t="n"/>
      <c r="L132" s="14" t="n"/>
      <c r="M132" s="15">
        <f>IF(OR(A132="",B132=""),"",IF(AND(ISNUMBER(F132),H132&lt;&gt;"Компания"),D132+L132,0))</f>
        <v/>
      </c>
      <c r="N132" s="21">
        <f>SUMPRODUCT(MAX((Брони!$B$2:$B$500=B132)*((Брони!$F$2:$F$500="Выдана")+(Брони!$F$2:$F$500="Возвращена"))*(Брони!$D$2:$D$500&lt;=A132)*Брони!$D$2:$D$500))</f>
        <v/>
      </c>
      <c r="O132" s="19">
        <f>SUMPRODUCT((Брони!$B$2:$B$500=B132)*(Брони!$D$2:$D$500=N132)*((((Брони!$F$2:$F$500="Выдана")*NOW())+((Брони!$F$2:$F$500="Возвращена")*Брони!$E$2:$E$500))&gt;=A132)*Брони!$A$2:$A$500)</f>
        <v/>
      </c>
      <c r="P132" s="19">
        <f>SUMPRODUCT((Брони!$B$2:$B$500=B132)*(Брони!$D$2:$D$500=N132)*(((Брони!$F$2:$F$500="Выдана")+(Брони!$F$2:$F$500="Возвращена"))))</f>
        <v/>
      </c>
      <c r="Q132" s="10" t="n"/>
    </row>
    <row r="133">
      <c r="A133" s="11" t="n"/>
      <c r="B133" s="10" t="n"/>
      <c r="C133" s="10" t="n"/>
      <c r="D133" s="14" t="n"/>
      <c r="E133" s="10" t="n"/>
      <c r="F133" s="20">
        <f>IF(OR(A133="",B133=""),"",IF(OR(NOT(ISNUMBER(A133)),ISERROR(N133+O133+P133)),"Проверьте даты",IF(AND(N133&gt;0,P133&gt;1),"Дубль",IF(AND(N133&gt;0,O133&gt;0),O133,"Вне аренды"))))</f>
        <v/>
      </c>
      <c r="G133" s="12">
        <f>IF(ISNUMBER(F133),IFERROR(INDEX(Брони!$C$2:$C$500,MATCH(F133,Брони!$A$2:$A$500,0)),""),"")</f>
        <v/>
      </c>
      <c r="H133" s="10" t="n"/>
      <c r="I133" s="18" t="n"/>
      <c r="J133" s="12">
        <f>IF(AND(ISNUMBER(F133),I133&lt;&gt;""),IFERROR(IF(AND(INDEX(Брони!$F$2:$F$500,MATCH(F133,Брони!$A$2:$A$500,0))="Возвращена",I133&gt;INDEX(Брони!$E$2:$E$500,MATCH(F133,Брони!$A$2:$A$500,0))),"Да",""),""),"")</f>
        <v/>
      </c>
      <c r="K133" s="10" t="n"/>
      <c r="L133" s="14" t="n"/>
      <c r="M133" s="15">
        <f>IF(OR(A133="",B133=""),"",IF(AND(ISNUMBER(F133),H133&lt;&gt;"Компания"),D133+L133,0))</f>
        <v/>
      </c>
      <c r="N133" s="21">
        <f>SUMPRODUCT(MAX((Брони!$B$2:$B$500=B133)*((Брони!$F$2:$F$500="Выдана")+(Брони!$F$2:$F$500="Возвращена"))*(Брони!$D$2:$D$500&lt;=A133)*Брони!$D$2:$D$500))</f>
        <v/>
      </c>
      <c r="O133" s="19">
        <f>SUMPRODUCT((Брони!$B$2:$B$500=B133)*(Брони!$D$2:$D$500=N133)*((((Брони!$F$2:$F$500="Выдана")*NOW())+((Брони!$F$2:$F$500="Возвращена")*Брони!$E$2:$E$500))&gt;=A133)*Брони!$A$2:$A$500)</f>
        <v/>
      </c>
      <c r="P133" s="19">
        <f>SUMPRODUCT((Брони!$B$2:$B$500=B133)*(Брони!$D$2:$D$500=N133)*(((Брони!$F$2:$F$500="Выдана")+(Брони!$F$2:$F$500="Возвращена"))))</f>
        <v/>
      </c>
      <c r="Q133" s="10" t="n"/>
    </row>
    <row r="134">
      <c r="A134" s="11" t="n"/>
      <c r="B134" s="10" t="n"/>
      <c r="C134" s="10" t="n"/>
      <c r="D134" s="14" t="n"/>
      <c r="E134" s="10" t="n"/>
      <c r="F134" s="20">
        <f>IF(OR(A134="",B134=""),"",IF(OR(NOT(ISNUMBER(A134)),ISERROR(N134+O134+P134)),"Проверьте даты",IF(AND(N134&gt;0,P134&gt;1),"Дубль",IF(AND(N134&gt;0,O134&gt;0),O134,"Вне аренды"))))</f>
        <v/>
      </c>
      <c r="G134" s="12">
        <f>IF(ISNUMBER(F134),IFERROR(INDEX(Брони!$C$2:$C$500,MATCH(F134,Брони!$A$2:$A$500,0)),""),"")</f>
        <v/>
      </c>
      <c r="H134" s="10" t="n"/>
      <c r="I134" s="18" t="n"/>
      <c r="J134" s="12">
        <f>IF(AND(ISNUMBER(F134),I134&lt;&gt;""),IFERROR(IF(AND(INDEX(Брони!$F$2:$F$500,MATCH(F134,Брони!$A$2:$A$500,0))="Возвращена",I134&gt;INDEX(Брони!$E$2:$E$500,MATCH(F134,Брони!$A$2:$A$500,0))),"Да",""),""),"")</f>
        <v/>
      </c>
      <c r="K134" s="10" t="n"/>
      <c r="L134" s="14" t="n"/>
      <c r="M134" s="15">
        <f>IF(OR(A134="",B134=""),"",IF(AND(ISNUMBER(F134),H134&lt;&gt;"Компания"),D134+L134,0))</f>
        <v/>
      </c>
      <c r="N134" s="21">
        <f>SUMPRODUCT(MAX((Брони!$B$2:$B$500=B134)*((Брони!$F$2:$F$500="Выдана")+(Брони!$F$2:$F$500="Возвращена"))*(Брони!$D$2:$D$500&lt;=A134)*Брони!$D$2:$D$500))</f>
        <v/>
      </c>
      <c r="O134" s="19">
        <f>SUMPRODUCT((Брони!$B$2:$B$500=B134)*(Брони!$D$2:$D$500=N134)*((((Брони!$F$2:$F$500="Выдана")*NOW())+((Брони!$F$2:$F$500="Возвращена")*Брони!$E$2:$E$500))&gt;=A134)*Брони!$A$2:$A$500)</f>
        <v/>
      </c>
      <c r="P134" s="19">
        <f>SUMPRODUCT((Брони!$B$2:$B$500=B134)*(Брони!$D$2:$D$500=N134)*(((Брони!$F$2:$F$500="Выдана")+(Брони!$F$2:$F$500="Возвращена"))))</f>
        <v/>
      </c>
      <c r="Q134" s="10" t="n"/>
    </row>
    <row r="135">
      <c r="A135" s="11" t="n"/>
      <c r="B135" s="10" t="n"/>
      <c r="C135" s="10" t="n"/>
      <c r="D135" s="14" t="n"/>
      <c r="E135" s="10" t="n"/>
      <c r="F135" s="20">
        <f>IF(OR(A135="",B135=""),"",IF(OR(NOT(ISNUMBER(A135)),ISERROR(N135+O135+P135)),"Проверьте даты",IF(AND(N135&gt;0,P135&gt;1),"Дубль",IF(AND(N135&gt;0,O135&gt;0),O135,"Вне аренды"))))</f>
        <v/>
      </c>
      <c r="G135" s="12">
        <f>IF(ISNUMBER(F135),IFERROR(INDEX(Брони!$C$2:$C$500,MATCH(F135,Брони!$A$2:$A$500,0)),""),"")</f>
        <v/>
      </c>
      <c r="H135" s="10" t="n"/>
      <c r="I135" s="18" t="n"/>
      <c r="J135" s="12">
        <f>IF(AND(ISNUMBER(F135),I135&lt;&gt;""),IFERROR(IF(AND(INDEX(Брони!$F$2:$F$500,MATCH(F135,Брони!$A$2:$A$500,0))="Возвращена",I135&gt;INDEX(Брони!$E$2:$E$500,MATCH(F135,Брони!$A$2:$A$500,0))),"Да",""),""),"")</f>
        <v/>
      </c>
      <c r="K135" s="10" t="n"/>
      <c r="L135" s="14" t="n"/>
      <c r="M135" s="15">
        <f>IF(OR(A135="",B135=""),"",IF(AND(ISNUMBER(F135),H135&lt;&gt;"Компания"),D135+L135,0))</f>
        <v/>
      </c>
      <c r="N135" s="21">
        <f>SUMPRODUCT(MAX((Брони!$B$2:$B$500=B135)*((Брони!$F$2:$F$500="Выдана")+(Брони!$F$2:$F$500="Возвращена"))*(Брони!$D$2:$D$500&lt;=A135)*Брони!$D$2:$D$500))</f>
        <v/>
      </c>
      <c r="O135" s="19">
        <f>SUMPRODUCT((Брони!$B$2:$B$500=B135)*(Брони!$D$2:$D$500=N135)*((((Брони!$F$2:$F$500="Выдана")*NOW())+((Брони!$F$2:$F$500="Возвращена")*Брони!$E$2:$E$500))&gt;=A135)*Брони!$A$2:$A$500)</f>
        <v/>
      </c>
      <c r="P135" s="19">
        <f>SUMPRODUCT((Брони!$B$2:$B$500=B135)*(Брони!$D$2:$D$500=N135)*(((Брони!$F$2:$F$500="Выдана")+(Брони!$F$2:$F$500="Возвращена"))))</f>
        <v/>
      </c>
      <c r="Q135" s="10" t="n"/>
    </row>
    <row r="136">
      <c r="A136" s="11" t="n"/>
      <c r="B136" s="10" t="n"/>
      <c r="C136" s="10" t="n"/>
      <c r="D136" s="14" t="n"/>
      <c r="E136" s="10" t="n"/>
      <c r="F136" s="20">
        <f>IF(OR(A136="",B136=""),"",IF(OR(NOT(ISNUMBER(A136)),ISERROR(N136+O136+P136)),"Проверьте даты",IF(AND(N136&gt;0,P136&gt;1),"Дубль",IF(AND(N136&gt;0,O136&gt;0),O136,"Вне аренды"))))</f>
        <v/>
      </c>
      <c r="G136" s="12">
        <f>IF(ISNUMBER(F136),IFERROR(INDEX(Брони!$C$2:$C$500,MATCH(F136,Брони!$A$2:$A$500,0)),""),"")</f>
        <v/>
      </c>
      <c r="H136" s="10" t="n"/>
      <c r="I136" s="18" t="n"/>
      <c r="J136" s="12">
        <f>IF(AND(ISNUMBER(F136),I136&lt;&gt;""),IFERROR(IF(AND(INDEX(Брони!$F$2:$F$500,MATCH(F136,Брони!$A$2:$A$500,0))="Возвращена",I136&gt;INDEX(Брони!$E$2:$E$500,MATCH(F136,Брони!$A$2:$A$500,0))),"Да",""),""),"")</f>
        <v/>
      </c>
      <c r="K136" s="10" t="n"/>
      <c r="L136" s="14" t="n"/>
      <c r="M136" s="15">
        <f>IF(OR(A136="",B136=""),"",IF(AND(ISNUMBER(F136),H136&lt;&gt;"Компания"),D136+L136,0))</f>
        <v/>
      </c>
      <c r="N136" s="21">
        <f>SUMPRODUCT(MAX((Брони!$B$2:$B$500=B136)*((Брони!$F$2:$F$500="Выдана")+(Брони!$F$2:$F$500="Возвращена"))*(Брони!$D$2:$D$500&lt;=A136)*Брони!$D$2:$D$500))</f>
        <v/>
      </c>
      <c r="O136" s="19">
        <f>SUMPRODUCT((Брони!$B$2:$B$500=B136)*(Брони!$D$2:$D$500=N136)*((((Брони!$F$2:$F$500="Выдана")*NOW())+((Брони!$F$2:$F$500="Возвращена")*Брони!$E$2:$E$500))&gt;=A136)*Брони!$A$2:$A$500)</f>
        <v/>
      </c>
      <c r="P136" s="19">
        <f>SUMPRODUCT((Брони!$B$2:$B$500=B136)*(Брони!$D$2:$D$500=N136)*(((Брони!$F$2:$F$500="Выдана")+(Брони!$F$2:$F$500="Возвращена"))))</f>
        <v/>
      </c>
      <c r="Q136" s="10" t="n"/>
    </row>
    <row r="137">
      <c r="A137" s="11" t="n"/>
      <c r="B137" s="10" t="n"/>
      <c r="C137" s="10" t="n"/>
      <c r="D137" s="14" t="n"/>
      <c r="E137" s="10" t="n"/>
      <c r="F137" s="20">
        <f>IF(OR(A137="",B137=""),"",IF(OR(NOT(ISNUMBER(A137)),ISERROR(N137+O137+P137)),"Проверьте даты",IF(AND(N137&gt;0,P137&gt;1),"Дубль",IF(AND(N137&gt;0,O137&gt;0),O137,"Вне аренды"))))</f>
        <v/>
      </c>
      <c r="G137" s="12">
        <f>IF(ISNUMBER(F137),IFERROR(INDEX(Брони!$C$2:$C$500,MATCH(F137,Брони!$A$2:$A$500,0)),""),"")</f>
        <v/>
      </c>
      <c r="H137" s="10" t="n"/>
      <c r="I137" s="18" t="n"/>
      <c r="J137" s="12">
        <f>IF(AND(ISNUMBER(F137),I137&lt;&gt;""),IFERROR(IF(AND(INDEX(Брони!$F$2:$F$500,MATCH(F137,Брони!$A$2:$A$500,0))="Возвращена",I137&gt;INDEX(Брони!$E$2:$E$500,MATCH(F137,Брони!$A$2:$A$500,0))),"Да",""),""),"")</f>
        <v/>
      </c>
      <c r="K137" s="10" t="n"/>
      <c r="L137" s="14" t="n"/>
      <c r="M137" s="15">
        <f>IF(OR(A137="",B137=""),"",IF(AND(ISNUMBER(F137),H137&lt;&gt;"Компания"),D137+L137,0))</f>
        <v/>
      </c>
      <c r="N137" s="21">
        <f>SUMPRODUCT(MAX((Брони!$B$2:$B$500=B137)*((Брони!$F$2:$F$500="Выдана")+(Брони!$F$2:$F$500="Возвращена"))*(Брони!$D$2:$D$500&lt;=A137)*Брони!$D$2:$D$500))</f>
        <v/>
      </c>
      <c r="O137" s="19">
        <f>SUMPRODUCT((Брони!$B$2:$B$500=B137)*(Брони!$D$2:$D$500=N137)*((((Брони!$F$2:$F$500="Выдана")*NOW())+((Брони!$F$2:$F$500="Возвращена")*Брони!$E$2:$E$500))&gt;=A137)*Брони!$A$2:$A$500)</f>
        <v/>
      </c>
      <c r="P137" s="19">
        <f>SUMPRODUCT((Брони!$B$2:$B$500=B137)*(Брони!$D$2:$D$500=N137)*(((Брони!$F$2:$F$500="Выдана")+(Брони!$F$2:$F$500="Возвращена"))))</f>
        <v/>
      </c>
      <c r="Q137" s="10" t="n"/>
    </row>
    <row r="138">
      <c r="A138" s="11" t="n"/>
      <c r="B138" s="10" t="n"/>
      <c r="C138" s="10" t="n"/>
      <c r="D138" s="14" t="n"/>
      <c r="E138" s="10" t="n"/>
      <c r="F138" s="20">
        <f>IF(OR(A138="",B138=""),"",IF(OR(NOT(ISNUMBER(A138)),ISERROR(N138+O138+P138)),"Проверьте даты",IF(AND(N138&gt;0,P138&gt;1),"Дубль",IF(AND(N138&gt;0,O138&gt;0),O138,"Вне аренды"))))</f>
        <v/>
      </c>
      <c r="G138" s="12">
        <f>IF(ISNUMBER(F138),IFERROR(INDEX(Брони!$C$2:$C$500,MATCH(F138,Брони!$A$2:$A$500,0)),""),"")</f>
        <v/>
      </c>
      <c r="H138" s="10" t="n"/>
      <c r="I138" s="18" t="n"/>
      <c r="J138" s="12">
        <f>IF(AND(ISNUMBER(F138),I138&lt;&gt;""),IFERROR(IF(AND(INDEX(Брони!$F$2:$F$500,MATCH(F138,Брони!$A$2:$A$500,0))="Возвращена",I138&gt;INDEX(Брони!$E$2:$E$500,MATCH(F138,Брони!$A$2:$A$500,0))),"Да",""),""),"")</f>
        <v/>
      </c>
      <c r="K138" s="10" t="n"/>
      <c r="L138" s="14" t="n"/>
      <c r="M138" s="15">
        <f>IF(OR(A138="",B138=""),"",IF(AND(ISNUMBER(F138),H138&lt;&gt;"Компания"),D138+L138,0))</f>
        <v/>
      </c>
      <c r="N138" s="21">
        <f>SUMPRODUCT(MAX((Брони!$B$2:$B$500=B138)*((Брони!$F$2:$F$500="Выдана")+(Брони!$F$2:$F$500="Возвращена"))*(Брони!$D$2:$D$500&lt;=A138)*Брони!$D$2:$D$500))</f>
        <v/>
      </c>
      <c r="O138" s="19">
        <f>SUMPRODUCT((Брони!$B$2:$B$500=B138)*(Брони!$D$2:$D$500=N138)*((((Брони!$F$2:$F$500="Выдана")*NOW())+((Брони!$F$2:$F$500="Возвращена")*Брони!$E$2:$E$500))&gt;=A138)*Брони!$A$2:$A$500)</f>
        <v/>
      </c>
      <c r="P138" s="19">
        <f>SUMPRODUCT((Брони!$B$2:$B$500=B138)*(Брони!$D$2:$D$500=N138)*(((Брони!$F$2:$F$500="Выдана")+(Брони!$F$2:$F$500="Возвращена"))))</f>
        <v/>
      </c>
      <c r="Q138" s="10" t="n"/>
    </row>
    <row r="139">
      <c r="A139" s="11" t="n"/>
      <c r="B139" s="10" t="n"/>
      <c r="C139" s="10" t="n"/>
      <c r="D139" s="14" t="n"/>
      <c r="E139" s="10" t="n"/>
      <c r="F139" s="20">
        <f>IF(OR(A139="",B139=""),"",IF(OR(NOT(ISNUMBER(A139)),ISERROR(N139+O139+P139)),"Проверьте даты",IF(AND(N139&gt;0,P139&gt;1),"Дубль",IF(AND(N139&gt;0,O139&gt;0),O139,"Вне аренды"))))</f>
        <v/>
      </c>
      <c r="G139" s="12">
        <f>IF(ISNUMBER(F139),IFERROR(INDEX(Брони!$C$2:$C$500,MATCH(F139,Брони!$A$2:$A$500,0)),""),"")</f>
        <v/>
      </c>
      <c r="H139" s="10" t="n"/>
      <c r="I139" s="18" t="n"/>
      <c r="J139" s="12">
        <f>IF(AND(ISNUMBER(F139),I139&lt;&gt;""),IFERROR(IF(AND(INDEX(Брони!$F$2:$F$500,MATCH(F139,Брони!$A$2:$A$500,0))="Возвращена",I139&gt;INDEX(Брони!$E$2:$E$500,MATCH(F139,Брони!$A$2:$A$500,0))),"Да",""),""),"")</f>
        <v/>
      </c>
      <c r="K139" s="10" t="n"/>
      <c r="L139" s="14" t="n"/>
      <c r="M139" s="15">
        <f>IF(OR(A139="",B139=""),"",IF(AND(ISNUMBER(F139),H139&lt;&gt;"Компания"),D139+L139,0))</f>
        <v/>
      </c>
      <c r="N139" s="21">
        <f>SUMPRODUCT(MAX((Брони!$B$2:$B$500=B139)*((Брони!$F$2:$F$500="Выдана")+(Брони!$F$2:$F$500="Возвращена"))*(Брони!$D$2:$D$500&lt;=A139)*Брони!$D$2:$D$500))</f>
        <v/>
      </c>
      <c r="O139" s="19">
        <f>SUMPRODUCT((Брони!$B$2:$B$500=B139)*(Брони!$D$2:$D$500=N139)*((((Брони!$F$2:$F$500="Выдана")*NOW())+((Брони!$F$2:$F$500="Возвращена")*Брони!$E$2:$E$500))&gt;=A139)*Брони!$A$2:$A$500)</f>
        <v/>
      </c>
      <c r="P139" s="19">
        <f>SUMPRODUCT((Брони!$B$2:$B$500=B139)*(Брони!$D$2:$D$500=N139)*(((Брони!$F$2:$F$500="Выдана")+(Брони!$F$2:$F$500="Возвращена"))))</f>
        <v/>
      </c>
      <c r="Q139" s="10" t="n"/>
    </row>
    <row r="140">
      <c r="A140" s="11" t="n"/>
      <c r="B140" s="10" t="n"/>
      <c r="C140" s="10" t="n"/>
      <c r="D140" s="14" t="n"/>
      <c r="E140" s="10" t="n"/>
      <c r="F140" s="20">
        <f>IF(OR(A140="",B140=""),"",IF(OR(NOT(ISNUMBER(A140)),ISERROR(N140+O140+P140)),"Проверьте даты",IF(AND(N140&gt;0,P140&gt;1),"Дубль",IF(AND(N140&gt;0,O140&gt;0),O140,"Вне аренды"))))</f>
        <v/>
      </c>
      <c r="G140" s="12">
        <f>IF(ISNUMBER(F140),IFERROR(INDEX(Брони!$C$2:$C$500,MATCH(F140,Брони!$A$2:$A$500,0)),""),"")</f>
        <v/>
      </c>
      <c r="H140" s="10" t="n"/>
      <c r="I140" s="18" t="n"/>
      <c r="J140" s="12">
        <f>IF(AND(ISNUMBER(F140),I140&lt;&gt;""),IFERROR(IF(AND(INDEX(Брони!$F$2:$F$500,MATCH(F140,Брони!$A$2:$A$500,0))="Возвращена",I140&gt;INDEX(Брони!$E$2:$E$500,MATCH(F140,Брони!$A$2:$A$500,0))),"Да",""),""),"")</f>
        <v/>
      </c>
      <c r="K140" s="10" t="n"/>
      <c r="L140" s="14" t="n"/>
      <c r="M140" s="15">
        <f>IF(OR(A140="",B140=""),"",IF(AND(ISNUMBER(F140),H140&lt;&gt;"Компания"),D140+L140,0))</f>
        <v/>
      </c>
      <c r="N140" s="21">
        <f>SUMPRODUCT(MAX((Брони!$B$2:$B$500=B140)*((Брони!$F$2:$F$500="Выдана")+(Брони!$F$2:$F$500="Возвращена"))*(Брони!$D$2:$D$500&lt;=A140)*Брони!$D$2:$D$500))</f>
        <v/>
      </c>
      <c r="O140" s="19">
        <f>SUMPRODUCT((Брони!$B$2:$B$500=B140)*(Брони!$D$2:$D$500=N140)*((((Брони!$F$2:$F$500="Выдана")*NOW())+((Брони!$F$2:$F$500="Возвращена")*Брони!$E$2:$E$500))&gt;=A140)*Брони!$A$2:$A$500)</f>
        <v/>
      </c>
      <c r="P140" s="19">
        <f>SUMPRODUCT((Брони!$B$2:$B$500=B140)*(Брони!$D$2:$D$500=N140)*(((Брони!$F$2:$F$500="Выдана")+(Брони!$F$2:$F$500="Возвращена"))))</f>
        <v/>
      </c>
      <c r="Q140" s="10" t="n"/>
    </row>
    <row r="141">
      <c r="A141" s="11" t="n"/>
      <c r="B141" s="10" t="n"/>
      <c r="C141" s="10" t="n"/>
      <c r="D141" s="14" t="n"/>
      <c r="E141" s="10" t="n"/>
      <c r="F141" s="20">
        <f>IF(OR(A141="",B141=""),"",IF(OR(NOT(ISNUMBER(A141)),ISERROR(N141+O141+P141)),"Проверьте даты",IF(AND(N141&gt;0,P141&gt;1),"Дубль",IF(AND(N141&gt;0,O141&gt;0),O141,"Вне аренды"))))</f>
        <v/>
      </c>
      <c r="G141" s="12">
        <f>IF(ISNUMBER(F141),IFERROR(INDEX(Брони!$C$2:$C$500,MATCH(F141,Брони!$A$2:$A$500,0)),""),"")</f>
        <v/>
      </c>
      <c r="H141" s="10" t="n"/>
      <c r="I141" s="18" t="n"/>
      <c r="J141" s="12">
        <f>IF(AND(ISNUMBER(F141),I141&lt;&gt;""),IFERROR(IF(AND(INDEX(Брони!$F$2:$F$500,MATCH(F141,Брони!$A$2:$A$500,0))="Возвращена",I141&gt;INDEX(Брони!$E$2:$E$500,MATCH(F141,Брони!$A$2:$A$500,0))),"Да",""),""),"")</f>
        <v/>
      </c>
      <c r="K141" s="10" t="n"/>
      <c r="L141" s="14" t="n"/>
      <c r="M141" s="15">
        <f>IF(OR(A141="",B141=""),"",IF(AND(ISNUMBER(F141),H141&lt;&gt;"Компания"),D141+L141,0))</f>
        <v/>
      </c>
      <c r="N141" s="21">
        <f>SUMPRODUCT(MAX((Брони!$B$2:$B$500=B141)*((Брони!$F$2:$F$500="Выдана")+(Брони!$F$2:$F$500="Возвращена"))*(Брони!$D$2:$D$500&lt;=A141)*Брони!$D$2:$D$500))</f>
        <v/>
      </c>
      <c r="O141" s="19">
        <f>SUMPRODUCT((Брони!$B$2:$B$500=B141)*(Брони!$D$2:$D$500=N141)*((((Брони!$F$2:$F$500="Выдана")*NOW())+((Брони!$F$2:$F$500="Возвращена")*Брони!$E$2:$E$500))&gt;=A141)*Брони!$A$2:$A$500)</f>
        <v/>
      </c>
      <c r="P141" s="19">
        <f>SUMPRODUCT((Брони!$B$2:$B$500=B141)*(Брони!$D$2:$D$500=N141)*(((Брони!$F$2:$F$500="Выдана")+(Брони!$F$2:$F$500="Возвращена"))))</f>
        <v/>
      </c>
      <c r="Q141" s="10" t="n"/>
    </row>
    <row r="142">
      <c r="A142" s="11" t="n"/>
      <c r="B142" s="10" t="n"/>
      <c r="C142" s="10" t="n"/>
      <c r="D142" s="14" t="n"/>
      <c r="E142" s="10" t="n"/>
      <c r="F142" s="20">
        <f>IF(OR(A142="",B142=""),"",IF(OR(NOT(ISNUMBER(A142)),ISERROR(N142+O142+P142)),"Проверьте даты",IF(AND(N142&gt;0,P142&gt;1),"Дубль",IF(AND(N142&gt;0,O142&gt;0),O142,"Вне аренды"))))</f>
        <v/>
      </c>
      <c r="G142" s="12">
        <f>IF(ISNUMBER(F142),IFERROR(INDEX(Брони!$C$2:$C$500,MATCH(F142,Брони!$A$2:$A$500,0)),""),"")</f>
        <v/>
      </c>
      <c r="H142" s="10" t="n"/>
      <c r="I142" s="18" t="n"/>
      <c r="J142" s="12">
        <f>IF(AND(ISNUMBER(F142),I142&lt;&gt;""),IFERROR(IF(AND(INDEX(Брони!$F$2:$F$500,MATCH(F142,Брони!$A$2:$A$500,0))="Возвращена",I142&gt;INDEX(Брони!$E$2:$E$500,MATCH(F142,Брони!$A$2:$A$500,0))),"Да",""),""),"")</f>
        <v/>
      </c>
      <c r="K142" s="10" t="n"/>
      <c r="L142" s="14" t="n"/>
      <c r="M142" s="15">
        <f>IF(OR(A142="",B142=""),"",IF(AND(ISNUMBER(F142),H142&lt;&gt;"Компания"),D142+L142,0))</f>
        <v/>
      </c>
      <c r="N142" s="21">
        <f>SUMPRODUCT(MAX((Брони!$B$2:$B$500=B142)*((Брони!$F$2:$F$500="Выдана")+(Брони!$F$2:$F$500="Возвращена"))*(Брони!$D$2:$D$500&lt;=A142)*Брони!$D$2:$D$500))</f>
        <v/>
      </c>
      <c r="O142" s="19">
        <f>SUMPRODUCT((Брони!$B$2:$B$500=B142)*(Брони!$D$2:$D$500=N142)*((((Брони!$F$2:$F$500="Выдана")*NOW())+((Брони!$F$2:$F$500="Возвращена")*Брони!$E$2:$E$500))&gt;=A142)*Брони!$A$2:$A$500)</f>
        <v/>
      </c>
      <c r="P142" s="19">
        <f>SUMPRODUCT((Брони!$B$2:$B$500=B142)*(Брони!$D$2:$D$500=N142)*(((Брони!$F$2:$F$500="Выдана")+(Брони!$F$2:$F$500="Возвращена"))))</f>
        <v/>
      </c>
      <c r="Q142" s="10" t="n"/>
    </row>
    <row r="143">
      <c r="A143" s="11" t="n"/>
      <c r="B143" s="10" t="n"/>
      <c r="C143" s="10" t="n"/>
      <c r="D143" s="14" t="n"/>
      <c r="E143" s="10" t="n"/>
      <c r="F143" s="20">
        <f>IF(OR(A143="",B143=""),"",IF(OR(NOT(ISNUMBER(A143)),ISERROR(N143+O143+P143)),"Проверьте даты",IF(AND(N143&gt;0,P143&gt;1),"Дубль",IF(AND(N143&gt;0,O143&gt;0),O143,"Вне аренды"))))</f>
        <v/>
      </c>
      <c r="G143" s="12">
        <f>IF(ISNUMBER(F143),IFERROR(INDEX(Брони!$C$2:$C$500,MATCH(F143,Брони!$A$2:$A$500,0)),""),"")</f>
        <v/>
      </c>
      <c r="H143" s="10" t="n"/>
      <c r="I143" s="18" t="n"/>
      <c r="J143" s="12">
        <f>IF(AND(ISNUMBER(F143),I143&lt;&gt;""),IFERROR(IF(AND(INDEX(Брони!$F$2:$F$500,MATCH(F143,Брони!$A$2:$A$500,0))="Возвращена",I143&gt;INDEX(Брони!$E$2:$E$500,MATCH(F143,Брони!$A$2:$A$500,0))),"Да",""),""),"")</f>
        <v/>
      </c>
      <c r="K143" s="10" t="n"/>
      <c r="L143" s="14" t="n"/>
      <c r="M143" s="15">
        <f>IF(OR(A143="",B143=""),"",IF(AND(ISNUMBER(F143),H143&lt;&gt;"Компания"),D143+L143,0))</f>
        <v/>
      </c>
      <c r="N143" s="21">
        <f>SUMPRODUCT(MAX((Брони!$B$2:$B$500=B143)*((Брони!$F$2:$F$500="Выдана")+(Брони!$F$2:$F$500="Возвращена"))*(Брони!$D$2:$D$500&lt;=A143)*Брони!$D$2:$D$500))</f>
        <v/>
      </c>
      <c r="O143" s="19">
        <f>SUMPRODUCT((Брони!$B$2:$B$500=B143)*(Брони!$D$2:$D$500=N143)*((((Брони!$F$2:$F$500="Выдана")*NOW())+((Брони!$F$2:$F$500="Возвращена")*Брони!$E$2:$E$500))&gt;=A143)*Брони!$A$2:$A$500)</f>
        <v/>
      </c>
      <c r="P143" s="19">
        <f>SUMPRODUCT((Брони!$B$2:$B$500=B143)*(Брони!$D$2:$D$500=N143)*(((Брони!$F$2:$F$500="Выдана")+(Брони!$F$2:$F$500="Возвращена"))))</f>
        <v/>
      </c>
      <c r="Q143" s="10" t="n"/>
    </row>
    <row r="144">
      <c r="A144" s="11" t="n"/>
      <c r="B144" s="10" t="n"/>
      <c r="C144" s="10" t="n"/>
      <c r="D144" s="14" t="n"/>
      <c r="E144" s="10" t="n"/>
      <c r="F144" s="20">
        <f>IF(OR(A144="",B144=""),"",IF(OR(NOT(ISNUMBER(A144)),ISERROR(N144+O144+P144)),"Проверьте даты",IF(AND(N144&gt;0,P144&gt;1),"Дубль",IF(AND(N144&gt;0,O144&gt;0),O144,"Вне аренды"))))</f>
        <v/>
      </c>
      <c r="G144" s="12">
        <f>IF(ISNUMBER(F144),IFERROR(INDEX(Брони!$C$2:$C$500,MATCH(F144,Брони!$A$2:$A$500,0)),""),"")</f>
        <v/>
      </c>
      <c r="H144" s="10" t="n"/>
      <c r="I144" s="18" t="n"/>
      <c r="J144" s="12">
        <f>IF(AND(ISNUMBER(F144),I144&lt;&gt;""),IFERROR(IF(AND(INDEX(Брони!$F$2:$F$500,MATCH(F144,Брони!$A$2:$A$500,0))="Возвращена",I144&gt;INDEX(Брони!$E$2:$E$500,MATCH(F144,Брони!$A$2:$A$500,0))),"Да",""),""),"")</f>
        <v/>
      </c>
      <c r="K144" s="10" t="n"/>
      <c r="L144" s="14" t="n"/>
      <c r="M144" s="15">
        <f>IF(OR(A144="",B144=""),"",IF(AND(ISNUMBER(F144),H144&lt;&gt;"Компания"),D144+L144,0))</f>
        <v/>
      </c>
      <c r="N144" s="21">
        <f>SUMPRODUCT(MAX((Брони!$B$2:$B$500=B144)*((Брони!$F$2:$F$500="Выдана")+(Брони!$F$2:$F$500="Возвращена"))*(Брони!$D$2:$D$500&lt;=A144)*Брони!$D$2:$D$500))</f>
        <v/>
      </c>
      <c r="O144" s="19">
        <f>SUMPRODUCT((Брони!$B$2:$B$500=B144)*(Брони!$D$2:$D$500=N144)*((((Брони!$F$2:$F$500="Выдана")*NOW())+((Брони!$F$2:$F$500="Возвращена")*Брони!$E$2:$E$500))&gt;=A144)*Брони!$A$2:$A$500)</f>
        <v/>
      </c>
      <c r="P144" s="19">
        <f>SUMPRODUCT((Брони!$B$2:$B$500=B144)*(Брони!$D$2:$D$500=N144)*(((Брони!$F$2:$F$500="Выдана")+(Брони!$F$2:$F$500="Возвращена"))))</f>
        <v/>
      </c>
      <c r="Q144" s="10" t="n"/>
    </row>
    <row r="145">
      <c r="A145" s="11" t="n"/>
      <c r="B145" s="10" t="n"/>
      <c r="C145" s="10" t="n"/>
      <c r="D145" s="14" t="n"/>
      <c r="E145" s="10" t="n"/>
      <c r="F145" s="20">
        <f>IF(OR(A145="",B145=""),"",IF(OR(NOT(ISNUMBER(A145)),ISERROR(N145+O145+P145)),"Проверьте даты",IF(AND(N145&gt;0,P145&gt;1),"Дубль",IF(AND(N145&gt;0,O145&gt;0),O145,"Вне аренды"))))</f>
        <v/>
      </c>
      <c r="G145" s="12">
        <f>IF(ISNUMBER(F145),IFERROR(INDEX(Брони!$C$2:$C$500,MATCH(F145,Брони!$A$2:$A$500,0)),""),"")</f>
        <v/>
      </c>
      <c r="H145" s="10" t="n"/>
      <c r="I145" s="18" t="n"/>
      <c r="J145" s="12">
        <f>IF(AND(ISNUMBER(F145),I145&lt;&gt;""),IFERROR(IF(AND(INDEX(Брони!$F$2:$F$500,MATCH(F145,Брони!$A$2:$A$500,0))="Возвращена",I145&gt;INDEX(Брони!$E$2:$E$500,MATCH(F145,Брони!$A$2:$A$500,0))),"Да",""),""),"")</f>
        <v/>
      </c>
      <c r="K145" s="10" t="n"/>
      <c r="L145" s="14" t="n"/>
      <c r="M145" s="15">
        <f>IF(OR(A145="",B145=""),"",IF(AND(ISNUMBER(F145),H145&lt;&gt;"Компания"),D145+L145,0))</f>
        <v/>
      </c>
      <c r="N145" s="21">
        <f>SUMPRODUCT(MAX((Брони!$B$2:$B$500=B145)*((Брони!$F$2:$F$500="Выдана")+(Брони!$F$2:$F$500="Возвращена"))*(Брони!$D$2:$D$500&lt;=A145)*Брони!$D$2:$D$500))</f>
        <v/>
      </c>
      <c r="O145" s="19">
        <f>SUMPRODUCT((Брони!$B$2:$B$500=B145)*(Брони!$D$2:$D$500=N145)*((((Брони!$F$2:$F$500="Выдана")*NOW())+((Брони!$F$2:$F$500="Возвращена")*Брони!$E$2:$E$500))&gt;=A145)*Брони!$A$2:$A$500)</f>
        <v/>
      </c>
      <c r="P145" s="19">
        <f>SUMPRODUCT((Брони!$B$2:$B$500=B145)*(Брони!$D$2:$D$500=N145)*(((Брони!$F$2:$F$500="Выдана")+(Брони!$F$2:$F$500="Возвращена"))))</f>
        <v/>
      </c>
      <c r="Q145" s="10" t="n"/>
    </row>
    <row r="146">
      <c r="A146" s="11" t="n"/>
      <c r="B146" s="10" t="n"/>
      <c r="C146" s="10" t="n"/>
      <c r="D146" s="14" t="n"/>
      <c r="E146" s="10" t="n"/>
      <c r="F146" s="20">
        <f>IF(OR(A146="",B146=""),"",IF(OR(NOT(ISNUMBER(A146)),ISERROR(N146+O146+P146)),"Проверьте даты",IF(AND(N146&gt;0,P146&gt;1),"Дубль",IF(AND(N146&gt;0,O146&gt;0),O146,"Вне аренды"))))</f>
        <v/>
      </c>
      <c r="G146" s="12">
        <f>IF(ISNUMBER(F146),IFERROR(INDEX(Брони!$C$2:$C$500,MATCH(F146,Брони!$A$2:$A$500,0)),""),"")</f>
        <v/>
      </c>
      <c r="H146" s="10" t="n"/>
      <c r="I146" s="18" t="n"/>
      <c r="J146" s="12">
        <f>IF(AND(ISNUMBER(F146),I146&lt;&gt;""),IFERROR(IF(AND(INDEX(Брони!$F$2:$F$500,MATCH(F146,Брони!$A$2:$A$500,0))="Возвращена",I146&gt;INDEX(Брони!$E$2:$E$500,MATCH(F146,Брони!$A$2:$A$500,0))),"Да",""),""),"")</f>
        <v/>
      </c>
      <c r="K146" s="10" t="n"/>
      <c r="L146" s="14" t="n"/>
      <c r="M146" s="15">
        <f>IF(OR(A146="",B146=""),"",IF(AND(ISNUMBER(F146),H146&lt;&gt;"Компания"),D146+L146,0))</f>
        <v/>
      </c>
      <c r="N146" s="21">
        <f>SUMPRODUCT(MAX((Брони!$B$2:$B$500=B146)*((Брони!$F$2:$F$500="Выдана")+(Брони!$F$2:$F$500="Возвращена"))*(Брони!$D$2:$D$500&lt;=A146)*Брони!$D$2:$D$500))</f>
        <v/>
      </c>
      <c r="O146" s="19">
        <f>SUMPRODUCT((Брони!$B$2:$B$500=B146)*(Брони!$D$2:$D$500=N146)*((((Брони!$F$2:$F$500="Выдана")*NOW())+((Брони!$F$2:$F$500="Возвращена")*Брони!$E$2:$E$500))&gt;=A146)*Брони!$A$2:$A$500)</f>
        <v/>
      </c>
      <c r="P146" s="19">
        <f>SUMPRODUCT((Брони!$B$2:$B$500=B146)*(Брони!$D$2:$D$500=N146)*(((Брони!$F$2:$F$500="Выдана")+(Брони!$F$2:$F$500="Возвращена"))))</f>
        <v/>
      </c>
      <c r="Q146" s="10" t="n"/>
    </row>
    <row r="147">
      <c r="A147" s="11" t="n"/>
      <c r="B147" s="10" t="n"/>
      <c r="C147" s="10" t="n"/>
      <c r="D147" s="14" t="n"/>
      <c r="E147" s="10" t="n"/>
      <c r="F147" s="20">
        <f>IF(OR(A147="",B147=""),"",IF(OR(NOT(ISNUMBER(A147)),ISERROR(N147+O147+P147)),"Проверьте даты",IF(AND(N147&gt;0,P147&gt;1),"Дубль",IF(AND(N147&gt;0,O147&gt;0),O147,"Вне аренды"))))</f>
        <v/>
      </c>
      <c r="G147" s="12">
        <f>IF(ISNUMBER(F147),IFERROR(INDEX(Брони!$C$2:$C$500,MATCH(F147,Брони!$A$2:$A$500,0)),""),"")</f>
        <v/>
      </c>
      <c r="H147" s="10" t="n"/>
      <c r="I147" s="18" t="n"/>
      <c r="J147" s="12">
        <f>IF(AND(ISNUMBER(F147),I147&lt;&gt;""),IFERROR(IF(AND(INDEX(Брони!$F$2:$F$500,MATCH(F147,Брони!$A$2:$A$500,0))="Возвращена",I147&gt;INDEX(Брони!$E$2:$E$500,MATCH(F147,Брони!$A$2:$A$500,0))),"Да",""),""),"")</f>
        <v/>
      </c>
      <c r="K147" s="10" t="n"/>
      <c r="L147" s="14" t="n"/>
      <c r="M147" s="15">
        <f>IF(OR(A147="",B147=""),"",IF(AND(ISNUMBER(F147),H147&lt;&gt;"Компания"),D147+L147,0))</f>
        <v/>
      </c>
      <c r="N147" s="21">
        <f>SUMPRODUCT(MAX((Брони!$B$2:$B$500=B147)*((Брони!$F$2:$F$500="Выдана")+(Брони!$F$2:$F$500="Возвращена"))*(Брони!$D$2:$D$500&lt;=A147)*Брони!$D$2:$D$500))</f>
        <v/>
      </c>
      <c r="O147" s="19">
        <f>SUMPRODUCT((Брони!$B$2:$B$500=B147)*(Брони!$D$2:$D$500=N147)*((((Брони!$F$2:$F$500="Выдана")*NOW())+((Брони!$F$2:$F$500="Возвращена")*Брони!$E$2:$E$500))&gt;=A147)*Брони!$A$2:$A$500)</f>
        <v/>
      </c>
      <c r="P147" s="19">
        <f>SUMPRODUCT((Брони!$B$2:$B$500=B147)*(Брони!$D$2:$D$500=N147)*(((Брони!$F$2:$F$500="Выдана")+(Брони!$F$2:$F$500="Возвращена"))))</f>
        <v/>
      </c>
      <c r="Q147" s="10" t="n"/>
    </row>
    <row r="148">
      <c r="A148" s="11" t="n"/>
      <c r="B148" s="10" t="n"/>
      <c r="C148" s="10" t="n"/>
      <c r="D148" s="14" t="n"/>
      <c r="E148" s="10" t="n"/>
      <c r="F148" s="20">
        <f>IF(OR(A148="",B148=""),"",IF(OR(NOT(ISNUMBER(A148)),ISERROR(N148+O148+P148)),"Проверьте даты",IF(AND(N148&gt;0,P148&gt;1),"Дубль",IF(AND(N148&gt;0,O148&gt;0),O148,"Вне аренды"))))</f>
        <v/>
      </c>
      <c r="G148" s="12">
        <f>IF(ISNUMBER(F148),IFERROR(INDEX(Брони!$C$2:$C$500,MATCH(F148,Брони!$A$2:$A$500,0)),""),"")</f>
        <v/>
      </c>
      <c r="H148" s="10" t="n"/>
      <c r="I148" s="18" t="n"/>
      <c r="J148" s="12">
        <f>IF(AND(ISNUMBER(F148),I148&lt;&gt;""),IFERROR(IF(AND(INDEX(Брони!$F$2:$F$500,MATCH(F148,Брони!$A$2:$A$500,0))="Возвращена",I148&gt;INDEX(Брони!$E$2:$E$500,MATCH(F148,Брони!$A$2:$A$500,0))),"Да",""),""),"")</f>
        <v/>
      </c>
      <c r="K148" s="10" t="n"/>
      <c r="L148" s="14" t="n"/>
      <c r="M148" s="15">
        <f>IF(OR(A148="",B148=""),"",IF(AND(ISNUMBER(F148),H148&lt;&gt;"Компания"),D148+L148,0))</f>
        <v/>
      </c>
      <c r="N148" s="21">
        <f>SUMPRODUCT(MAX((Брони!$B$2:$B$500=B148)*((Брони!$F$2:$F$500="Выдана")+(Брони!$F$2:$F$500="Возвращена"))*(Брони!$D$2:$D$500&lt;=A148)*Брони!$D$2:$D$500))</f>
        <v/>
      </c>
      <c r="O148" s="19">
        <f>SUMPRODUCT((Брони!$B$2:$B$500=B148)*(Брони!$D$2:$D$500=N148)*((((Брони!$F$2:$F$500="Выдана")*NOW())+((Брони!$F$2:$F$500="Возвращена")*Брони!$E$2:$E$500))&gt;=A148)*Брони!$A$2:$A$500)</f>
        <v/>
      </c>
      <c r="P148" s="19">
        <f>SUMPRODUCT((Брони!$B$2:$B$500=B148)*(Брони!$D$2:$D$500=N148)*(((Брони!$F$2:$F$500="Выдана")+(Брони!$F$2:$F$500="Возвращена"))))</f>
        <v/>
      </c>
      <c r="Q148" s="10" t="n"/>
    </row>
    <row r="149">
      <c r="A149" s="11" t="n"/>
      <c r="B149" s="10" t="n"/>
      <c r="C149" s="10" t="n"/>
      <c r="D149" s="14" t="n"/>
      <c r="E149" s="10" t="n"/>
      <c r="F149" s="20">
        <f>IF(OR(A149="",B149=""),"",IF(OR(NOT(ISNUMBER(A149)),ISERROR(N149+O149+P149)),"Проверьте даты",IF(AND(N149&gt;0,P149&gt;1),"Дубль",IF(AND(N149&gt;0,O149&gt;0),O149,"Вне аренды"))))</f>
        <v/>
      </c>
      <c r="G149" s="12">
        <f>IF(ISNUMBER(F149),IFERROR(INDEX(Брони!$C$2:$C$500,MATCH(F149,Брони!$A$2:$A$500,0)),""),"")</f>
        <v/>
      </c>
      <c r="H149" s="10" t="n"/>
      <c r="I149" s="18" t="n"/>
      <c r="J149" s="12">
        <f>IF(AND(ISNUMBER(F149),I149&lt;&gt;""),IFERROR(IF(AND(INDEX(Брони!$F$2:$F$500,MATCH(F149,Брони!$A$2:$A$500,0))="Возвращена",I149&gt;INDEX(Брони!$E$2:$E$500,MATCH(F149,Брони!$A$2:$A$500,0))),"Да",""),""),"")</f>
        <v/>
      </c>
      <c r="K149" s="10" t="n"/>
      <c r="L149" s="14" t="n"/>
      <c r="M149" s="15">
        <f>IF(OR(A149="",B149=""),"",IF(AND(ISNUMBER(F149),H149&lt;&gt;"Компания"),D149+L149,0))</f>
        <v/>
      </c>
      <c r="N149" s="21">
        <f>SUMPRODUCT(MAX((Брони!$B$2:$B$500=B149)*((Брони!$F$2:$F$500="Выдана")+(Брони!$F$2:$F$500="Возвращена"))*(Брони!$D$2:$D$500&lt;=A149)*Брони!$D$2:$D$500))</f>
        <v/>
      </c>
      <c r="O149" s="19">
        <f>SUMPRODUCT((Брони!$B$2:$B$500=B149)*(Брони!$D$2:$D$500=N149)*((((Брони!$F$2:$F$500="Выдана")*NOW())+((Брони!$F$2:$F$500="Возвращена")*Брони!$E$2:$E$500))&gt;=A149)*Брони!$A$2:$A$500)</f>
        <v/>
      </c>
      <c r="P149" s="19">
        <f>SUMPRODUCT((Брони!$B$2:$B$500=B149)*(Брони!$D$2:$D$500=N149)*(((Брони!$F$2:$F$500="Выдана")+(Брони!$F$2:$F$500="Возвращена"))))</f>
        <v/>
      </c>
      <c r="Q149" s="10" t="n"/>
    </row>
    <row r="150">
      <c r="A150" s="11" t="n"/>
      <c r="B150" s="10" t="n"/>
      <c r="C150" s="10" t="n"/>
      <c r="D150" s="14" t="n"/>
      <c r="E150" s="10" t="n"/>
      <c r="F150" s="20">
        <f>IF(OR(A150="",B150=""),"",IF(OR(NOT(ISNUMBER(A150)),ISERROR(N150+O150+P150)),"Проверьте даты",IF(AND(N150&gt;0,P150&gt;1),"Дубль",IF(AND(N150&gt;0,O150&gt;0),O150,"Вне аренды"))))</f>
        <v/>
      </c>
      <c r="G150" s="12">
        <f>IF(ISNUMBER(F150),IFERROR(INDEX(Брони!$C$2:$C$500,MATCH(F150,Брони!$A$2:$A$500,0)),""),"")</f>
        <v/>
      </c>
      <c r="H150" s="10" t="n"/>
      <c r="I150" s="18" t="n"/>
      <c r="J150" s="12">
        <f>IF(AND(ISNUMBER(F150),I150&lt;&gt;""),IFERROR(IF(AND(INDEX(Брони!$F$2:$F$500,MATCH(F150,Брони!$A$2:$A$500,0))="Возвращена",I150&gt;INDEX(Брони!$E$2:$E$500,MATCH(F150,Брони!$A$2:$A$500,0))),"Да",""),""),"")</f>
        <v/>
      </c>
      <c r="K150" s="10" t="n"/>
      <c r="L150" s="14" t="n"/>
      <c r="M150" s="15">
        <f>IF(OR(A150="",B150=""),"",IF(AND(ISNUMBER(F150),H150&lt;&gt;"Компания"),D150+L150,0))</f>
        <v/>
      </c>
      <c r="N150" s="21">
        <f>SUMPRODUCT(MAX((Брони!$B$2:$B$500=B150)*((Брони!$F$2:$F$500="Выдана")+(Брони!$F$2:$F$500="Возвращена"))*(Брони!$D$2:$D$500&lt;=A150)*Брони!$D$2:$D$500))</f>
        <v/>
      </c>
      <c r="O150" s="19">
        <f>SUMPRODUCT((Брони!$B$2:$B$500=B150)*(Брони!$D$2:$D$500=N150)*((((Брони!$F$2:$F$500="Выдана")*NOW())+((Брони!$F$2:$F$500="Возвращена")*Брони!$E$2:$E$500))&gt;=A150)*Брони!$A$2:$A$500)</f>
        <v/>
      </c>
      <c r="P150" s="19">
        <f>SUMPRODUCT((Брони!$B$2:$B$500=B150)*(Брони!$D$2:$D$500=N150)*(((Брони!$F$2:$F$500="Выдана")+(Брони!$F$2:$F$500="Возвращена"))))</f>
        <v/>
      </c>
      <c r="Q150" s="10" t="n"/>
    </row>
    <row r="151">
      <c r="A151" s="11" t="n"/>
      <c r="B151" s="10" t="n"/>
      <c r="C151" s="10" t="n"/>
      <c r="D151" s="14" t="n"/>
      <c r="E151" s="10" t="n"/>
      <c r="F151" s="20">
        <f>IF(OR(A151="",B151=""),"",IF(OR(NOT(ISNUMBER(A151)),ISERROR(N151+O151+P151)),"Проверьте даты",IF(AND(N151&gt;0,P151&gt;1),"Дубль",IF(AND(N151&gt;0,O151&gt;0),O151,"Вне аренды"))))</f>
        <v/>
      </c>
      <c r="G151" s="12">
        <f>IF(ISNUMBER(F151),IFERROR(INDEX(Брони!$C$2:$C$500,MATCH(F151,Брони!$A$2:$A$500,0)),""),"")</f>
        <v/>
      </c>
      <c r="H151" s="10" t="n"/>
      <c r="I151" s="18" t="n"/>
      <c r="J151" s="12">
        <f>IF(AND(ISNUMBER(F151),I151&lt;&gt;""),IFERROR(IF(AND(INDEX(Брони!$F$2:$F$500,MATCH(F151,Брони!$A$2:$A$500,0))="Возвращена",I151&gt;INDEX(Брони!$E$2:$E$500,MATCH(F151,Брони!$A$2:$A$500,0))),"Да",""),""),"")</f>
        <v/>
      </c>
      <c r="K151" s="10" t="n"/>
      <c r="L151" s="14" t="n"/>
      <c r="M151" s="15">
        <f>IF(OR(A151="",B151=""),"",IF(AND(ISNUMBER(F151),H151&lt;&gt;"Компания"),D151+L151,0))</f>
        <v/>
      </c>
      <c r="N151" s="21">
        <f>SUMPRODUCT(MAX((Брони!$B$2:$B$500=B151)*((Брони!$F$2:$F$500="Выдана")+(Брони!$F$2:$F$500="Возвращена"))*(Брони!$D$2:$D$500&lt;=A151)*Брони!$D$2:$D$500))</f>
        <v/>
      </c>
      <c r="O151" s="19">
        <f>SUMPRODUCT((Брони!$B$2:$B$500=B151)*(Брони!$D$2:$D$500=N151)*((((Брони!$F$2:$F$500="Выдана")*NOW())+((Брони!$F$2:$F$500="Возвращена")*Брони!$E$2:$E$500))&gt;=A151)*Брони!$A$2:$A$500)</f>
        <v/>
      </c>
      <c r="P151" s="19">
        <f>SUMPRODUCT((Брони!$B$2:$B$500=B151)*(Брони!$D$2:$D$500=N151)*(((Брони!$F$2:$F$500="Выдана")+(Брони!$F$2:$F$500="Возвращена"))))</f>
        <v/>
      </c>
      <c r="Q151" s="10" t="n"/>
    </row>
    <row r="152">
      <c r="A152" s="11" t="n"/>
      <c r="B152" s="10" t="n"/>
      <c r="C152" s="10" t="n"/>
      <c r="D152" s="14" t="n"/>
      <c r="E152" s="10" t="n"/>
      <c r="F152" s="20">
        <f>IF(OR(A152="",B152=""),"",IF(OR(NOT(ISNUMBER(A152)),ISERROR(N152+O152+P152)),"Проверьте даты",IF(AND(N152&gt;0,P152&gt;1),"Дубль",IF(AND(N152&gt;0,O152&gt;0),O152,"Вне аренды"))))</f>
        <v/>
      </c>
      <c r="G152" s="12">
        <f>IF(ISNUMBER(F152),IFERROR(INDEX(Брони!$C$2:$C$500,MATCH(F152,Брони!$A$2:$A$500,0)),""),"")</f>
        <v/>
      </c>
      <c r="H152" s="10" t="n"/>
      <c r="I152" s="18" t="n"/>
      <c r="J152" s="12">
        <f>IF(AND(ISNUMBER(F152),I152&lt;&gt;""),IFERROR(IF(AND(INDEX(Брони!$F$2:$F$500,MATCH(F152,Брони!$A$2:$A$500,0))="Возвращена",I152&gt;INDEX(Брони!$E$2:$E$500,MATCH(F152,Брони!$A$2:$A$500,0))),"Да",""),""),"")</f>
        <v/>
      </c>
      <c r="K152" s="10" t="n"/>
      <c r="L152" s="14" t="n"/>
      <c r="M152" s="15">
        <f>IF(OR(A152="",B152=""),"",IF(AND(ISNUMBER(F152),H152&lt;&gt;"Компания"),D152+L152,0))</f>
        <v/>
      </c>
      <c r="N152" s="21">
        <f>SUMPRODUCT(MAX((Брони!$B$2:$B$500=B152)*((Брони!$F$2:$F$500="Выдана")+(Брони!$F$2:$F$500="Возвращена"))*(Брони!$D$2:$D$500&lt;=A152)*Брони!$D$2:$D$500))</f>
        <v/>
      </c>
      <c r="O152" s="19">
        <f>SUMPRODUCT((Брони!$B$2:$B$500=B152)*(Брони!$D$2:$D$500=N152)*((((Брони!$F$2:$F$500="Выдана")*NOW())+((Брони!$F$2:$F$500="Возвращена")*Брони!$E$2:$E$500))&gt;=A152)*Брони!$A$2:$A$500)</f>
        <v/>
      </c>
      <c r="P152" s="19">
        <f>SUMPRODUCT((Брони!$B$2:$B$500=B152)*(Брони!$D$2:$D$500=N152)*(((Брони!$F$2:$F$500="Выдана")+(Брони!$F$2:$F$500="Возвращена"))))</f>
        <v/>
      </c>
      <c r="Q152" s="10" t="n"/>
    </row>
    <row r="153">
      <c r="A153" s="11" t="n"/>
      <c r="B153" s="10" t="n"/>
      <c r="C153" s="10" t="n"/>
      <c r="D153" s="14" t="n"/>
      <c r="E153" s="10" t="n"/>
      <c r="F153" s="20">
        <f>IF(OR(A153="",B153=""),"",IF(OR(NOT(ISNUMBER(A153)),ISERROR(N153+O153+P153)),"Проверьте даты",IF(AND(N153&gt;0,P153&gt;1),"Дубль",IF(AND(N153&gt;0,O153&gt;0),O153,"Вне аренды"))))</f>
        <v/>
      </c>
      <c r="G153" s="12">
        <f>IF(ISNUMBER(F153),IFERROR(INDEX(Брони!$C$2:$C$500,MATCH(F153,Брони!$A$2:$A$500,0)),""),"")</f>
        <v/>
      </c>
      <c r="H153" s="10" t="n"/>
      <c r="I153" s="18" t="n"/>
      <c r="J153" s="12">
        <f>IF(AND(ISNUMBER(F153),I153&lt;&gt;""),IFERROR(IF(AND(INDEX(Брони!$F$2:$F$500,MATCH(F153,Брони!$A$2:$A$500,0))="Возвращена",I153&gt;INDEX(Брони!$E$2:$E$500,MATCH(F153,Брони!$A$2:$A$500,0))),"Да",""),""),"")</f>
        <v/>
      </c>
      <c r="K153" s="10" t="n"/>
      <c r="L153" s="14" t="n"/>
      <c r="M153" s="15">
        <f>IF(OR(A153="",B153=""),"",IF(AND(ISNUMBER(F153),H153&lt;&gt;"Компания"),D153+L153,0))</f>
        <v/>
      </c>
      <c r="N153" s="21">
        <f>SUMPRODUCT(MAX((Брони!$B$2:$B$500=B153)*((Брони!$F$2:$F$500="Выдана")+(Брони!$F$2:$F$500="Возвращена"))*(Брони!$D$2:$D$500&lt;=A153)*Брони!$D$2:$D$500))</f>
        <v/>
      </c>
      <c r="O153" s="19">
        <f>SUMPRODUCT((Брони!$B$2:$B$500=B153)*(Брони!$D$2:$D$500=N153)*((((Брони!$F$2:$F$500="Выдана")*NOW())+((Брони!$F$2:$F$500="Возвращена")*Брони!$E$2:$E$500))&gt;=A153)*Брони!$A$2:$A$500)</f>
        <v/>
      </c>
      <c r="P153" s="19">
        <f>SUMPRODUCT((Брони!$B$2:$B$500=B153)*(Брони!$D$2:$D$500=N153)*(((Брони!$F$2:$F$500="Выдана")+(Брони!$F$2:$F$500="Возвращена"))))</f>
        <v/>
      </c>
      <c r="Q153" s="10" t="n"/>
    </row>
    <row r="154">
      <c r="A154" s="11" t="n"/>
      <c r="B154" s="10" t="n"/>
      <c r="C154" s="10" t="n"/>
      <c r="D154" s="14" t="n"/>
      <c r="E154" s="10" t="n"/>
      <c r="F154" s="20">
        <f>IF(OR(A154="",B154=""),"",IF(OR(NOT(ISNUMBER(A154)),ISERROR(N154+O154+P154)),"Проверьте даты",IF(AND(N154&gt;0,P154&gt;1),"Дубль",IF(AND(N154&gt;0,O154&gt;0),O154,"Вне аренды"))))</f>
        <v/>
      </c>
      <c r="G154" s="12">
        <f>IF(ISNUMBER(F154),IFERROR(INDEX(Брони!$C$2:$C$500,MATCH(F154,Брони!$A$2:$A$500,0)),""),"")</f>
        <v/>
      </c>
      <c r="H154" s="10" t="n"/>
      <c r="I154" s="18" t="n"/>
      <c r="J154" s="12">
        <f>IF(AND(ISNUMBER(F154),I154&lt;&gt;""),IFERROR(IF(AND(INDEX(Брони!$F$2:$F$500,MATCH(F154,Брони!$A$2:$A$500,0))="Возвращена",I154&gt;INDEX(Брони!$E$2:$E$500,MATCH(F154,Брони!$A$2:$A$500,0))),"Да",""),""),"")</f>
        <v/>
      </c>
      <c r="K154" s="10" t="n"/>
      <c r="L154" s="14" t="n"/>
      <c r="M154" s="15">
        <f>IF(OR(A154="",B154=""),"",IF(AND(ISNUMBER(F154),H154&lt;&gt;"Компания"),D154+L154,0))</f>
        <v/>
      </c>
      <c r="N154" s="21">
        <f>SUMPRODUCT(MAX((Брони!$B$2:$B$500=B154)*((Брони!$F$2:$F$500="Выдана")+(Брони!$F$2:$F$500="Возвращена"))*(Брони!$D$2:$D$500&lt;=A154)*Брони!$D$2:$D$500))</f>
        <v/>
      </c>
      <c r="O154" s="19">
        <f>SUMPRODUCT((Брони!$B$2:$B$500=B154)*(Брони!$D$2:$D$500=N154)*((((Брони!$F$2:$F$500="Выдана")*NOW())+((Брони!$F$2:$F$500="Возвращена")*Брони!$E$2:$E$500))&gt;=A154)*Брони!$A$2:$A$500)</f>
        <v/>
      </c>
      <c r="P154" s="19">
        <f>SUMPRODUCT((Брони!$B$2:$B$500=B154)*(Брони!$D$2:$D$500=N154)*(((Брони!$F$2:$F$500="Выдана")+(Брони!$F$2:$F$500="Возвращена"))))</f>
        <v/>
      </c>
      <c r="Q154" s="10" t="n"/>
    </row>
    <row r="155">
      <c r="A155" s="11" t="n"/>
      <c r="B155" s="10" t="n"/>
      <c r="C155" s="10" t="n"/>
      <c r="D155" s="14" t="n"/>
      <c r="E155" s="10" t="n"/>
      <c r="F155" s="20">
        <f>IF(OR(A155="",B155=""),"",IF(OR(NOT(ISNUMBER(A155)),ISERROR(N155+O155+P155)),"Проверьте даты",IF(AND(N155&gt;0,P155&gt;1),"Дубль",IF(AND(N155&gt;0,O155&gt;0),O155,"Вне аренды"))))</f>
        <v/>
      </c>
      <c r="G155" s="12">
        <f>IF(ISNUMBER(F155),IFERROR(INDEX(Брони!$C$2:$C$500,MATCH(F155,Брони!$A$2:$A$500,0)),""),"")</f>
        <v/>
      </c>
      <c r="H155" s="10" t="n"/>
      <c r="I155" s="18" t="n"/>
      <c r="J155" s="12">
        <f>IF(AND(ISNUMBER(F155),I155&lt;&gt;""),IFERROR(IF(AND(INDEX(Брони!$F$2:$F$500,MATCH(F155,Брони!$A$2:$A$500,0))="Возвращена",I155&gt;INDEX(Брони!$E$2:$E$500,MATCH(F155,Брони!$A$2:$A$500,0))),"Да",""),""),"")</f>
        <v/>
      </c>
      <c r="K155" s="10" t="n"/>
      <c r="L155" s="14" t="n"/>
      <c r="M155" s="15">
        <f>IF(OR(A155="",B155=""),"",IF(AND(ISNUMBER(F155),H155&lt;&gt;"Компания"),D155+L155,0))</f>
        <v/>
      </c>
      <c r="N155" s="21">
        <f>SUMPRODUCT(MAX((Брони!$B$2:$B$500=B155)*((Брони!$F$2:$F$500="Выдана")+(Брони!$F$2:$F$500="Возвращена"))*(Брони!$D$2:$D$500&lt;=A155)*Брони!$D$2:$D$500))</f>
        <v/>
      </c>
      <c r="O155" s="19">
        <f>SUMPRODUCT((Брони!$B$2:$B$500=B155)*(Брони!$D$2:$D$500=N155)*((((Брони!$F$2:$F$500="Выдана")*NOW())+((Брони!$F$2:$F$500="Возвращена")*Брони!$E$2:$E$500))&gt;=A155)*Брони!$A$2:$A$500)</f>
        <v/>
      </c>
      <c r="P155" s="19">
        <f>SUMPRODUCT((Брони!$B$2:$B$500=B155)*(Брони!$D$2:$D$500=N155)*(((Брони!$F$2:$F$500="Выдана")+(Брони!$F$2:$F$500="Возвращена"))))</f>
        <v/>
      </c>
      <c r="Q155" s="10" t="n"/>
    </row>
    <row r="156">
      <c r="A156" s="11" t="n"/>
      <c r="B156" s="10" t="n"/>
      <c r="C156" s="10" t="n"/>
      <c r="D156" s="14" t="n"/>
      <c r="E156" s="10" t="n"/>
      <c r="F156" s="20">
        <f>IF(OR(A156="",B156=""),"",IF(OR(NOT(ISNUMBER(A156)),ISERROR(N156+O156+P156)),"Проверьте даты",IF(AND(N156&gt;0,P156&gt;1),"Дубль",IF(AND(N156&gt;0,O156&gt;0),O156,"Вне аренды"))))</f>
        <v/>
      </c>
      <c r="G156" s="12">
        <f>IF(ISNUMBER(F156),IFERROR(INDEX(Брони!$C$2:$C$500,MATCH(F156,Брони!$A$2:$A$500,0)),""),"")</f>
        <v/>
      </c>
      <c r="H156" s="10" t="n"/>
      <c r="I156" s="18" t="n"/>
      <c r="J156" s="12">
        <f>IF(AND(ISNUMBER(F156),I156&lt;&gt;""),IFERROR(IF(AND(INDEX(Брони!$F$2:$F$500,MATCH(F156,Брони!$A$2:$A$500,0))="Возвращена",I156&gt;INDEX(Брони!$E$2:$E$500,MATCH(F156,Брони!$A$2:$A$500,0))),"Да",""),""),"")</f>
        <v/>
      </c>
      <c r="K156" s="10" t="n"/>
      <c r="L156" s="14" t="n"/>
      <c r="M156" s="15">
        <f>IF(OR(A156="",B156=""),"",IF(AND(ISNUMBER(F156),H156&lt;&gt;"Компания"),D156+L156,0))</f>
        <v/>
      </c>
      <c r="N156" s="21">
        <f>SUMPRODUCT(MAX((Брони!$B$2:$B$500=B156)*((Брони!$F$2:$F$500="Выдана")+(Брони!$F$2:$F$500="Возвращена"))*(Брони!$D$2:$D$500&lt;=A156)*Брони!$D$2:$D$500))</f>
        <v/>
      </c>
      <c r="O156" s="19">
        <f>SUMPRODUCT((Брони!$B$2:$B$500=B156)*(Брони!$D$2:$D$500=N156)*((((Брони!$F$2:$F$500="Выдана")*NOW())+((Брони!$F$2:$F$500="Возвращена")*Брони!$E$2:$E$500))&gt;=A156)*Брони!$A$2:$A$500)</f>
        <v/>
      </c>
      <c r="P156" s="19">
        <f>SUMPRODUCT((Брони!$B$2:$B$500=B156)*(Брони!$D$2:$D$500=N156)*(((Брони!$F$2:$F$500="Выдана")+(Брони!$F$2:$F$500="Возвращена"))))</f>
        <v/>
      </c>
      <c r="Q156" s="10" t="n"/>
    </row>
    <row r="157">
      <c r="A157" s="11" t="n"/>
      <c r="B157" s="10" t="n"/>
      <c r="C157" s="10" t="n"/>
      <c r="D157" s="14" t="n"/>
      <c r="E157" s="10" t="n"/>
      <c r="F157" s="20">
        <f>IF(OR(A157="",B157=""),"",IF(OR(NOT(ISNUMBER(A157)),ISERROR(N157+O157+P157)),"Проверьте даты",IF(AND(N157&gt;0,P157&gt;1),"Дубль",IF(AND(N157&gt;0,O157&gt;0),O157,"Вне аренды"))))</f>
        <v/>
      </c>
      <c r="G157" s="12">
        <f>IF(ISNUMBER(F157),IFERROR(INDEX(Брони!$C$2:$C$500,MATCH(F157,Брони!$A$2:$A$500,0)),""),"")</f>
        <v/>
      </c>
      <c r="H157" s="10" t="n"/>
      <c r="I157" s="18" t="n"/>
      <c r="J157" s="12">
        <f>IF(AND(ISNUMBER(F157),I157&lt;&gt;""),IFERROR(IF(AND(INDEX(Брони!$F$2:$F$500,MATCH(F157,Брони!$A$2:$A$500,0))="Возвращена",I157&gt;INDEX(Брони!$E$2:$E$500,MATCH(F157,Брони!$A$2:$A$500,0))),"Да",""),""),"")</f>
        <v/>
      </c>
      <c r="K157" s="10" t="n"/>
      <c r="L157" s="14" t="n"/>
      <c r="M157" s="15">
        <f>IF(OR(A157="",B157=""),"",IF(AND(ISNUMBER(F157),H157&lt;&gt;"Компания"),D157+L157,0))</f>
        <v/>
      </c>
      <c r="N157" s="21">
        <f>SUMPRODUCT(MAX((Брони!$B$2:$B$500=B157)*((Брони!$F$2:$F$500="Выдана")+(Брони!$F$2:$F$500="Возвращена"))*(Брони!$D$2:$D$500&lt;=A157)*Брони!$D$2:$D$500))</f>
        <v/>
      </c>
      <c r="O157" s="19">
        <f>SUMPRODUCT((Брони!$B$2:$B$500=B157)*(Брони!$D$2:$D$500=N157)*((((Брони!$F$2:$F$500="Выдана")*NOW())+((Брони!$F$2:$F$500="Возвращена")*Брони!$E$2:$E$500))&gt;=A157)*Брони!$A$2:$A$500)</f>
        <v/>
      </c>
      <c r="P157" s="19">
        <f>SUMPRODUCT((Брони!$B$2:$B$500=B157)*(Брони!$D$2:$D$500=N157)*(((Брони!$F$2:$F$500="Выдана")+(Брони!$F$2:$F$500="Возвращена"))))</f>
        <v/>
      </c>
      <c r="Q157" s="10" t="n"/>
    </row>
    <row r="158">
      <c r="A158" s="11" t="n"/>
      <c r="B158" s="10" t="n"/>
      <c r="C158" s="10" t="n"/>
      <c r="D158" s="14" t="n"/>
      <c r="E158" s="10" t="n"/>
      <c r="F158" s="20">
        <f>IF(OR(A158="",B158=""),"",IF(OR(NOT(ISNUMBER(A158)),ISERROR(N158+O158+P158)),"Проверьте даты",IF(AND(N158&gt;0,P158&gt;1),"Дубль",IF(AND(N158&gt;0,O158&gt;0),O158,"Вне аренды"))))</f>
        <v/>
      </c>
      <c r="G158" s="12">
        <f>IF(ISNUMBER(F158),IFERROR(INDEX(Брони!$C$2:$C$500,MATCH(F158,Брони!$A$2:$A$500,0)),""),"")</f>
        <v/>
      </c>
      <c r="H158" s="10" t="n"/>
      <c r="I158" s="18" t="n"/>
      <c r="J158" s="12">
        <f>IF(AND(ISNUMBER(F158),I158&lt;&gt;""),IFERROR(IF(AND(INDEX(Брони!$F$2:$F$500,MATCH(F158,Брони!$A$2:$A$500,0))="Возвращена",I158&gt;INDEX(Брони!$E$2:$E$500,MATCH(F158,Брони!$A$2:$A$500,0))),"Да",""),""),"")</f>
        <v/>
      </c>
      <c r="K158" s="10" t="n"/>
      <c r="L158" s="14" t="n"/>
      <c r="M158" s="15">
        <f>IF(OR(A158="",B158=""),"",IF(AND(ISNUMBER(F158),H158&lt;&gt;"Компания"),D158+L158,0))</f>
        <v/>
      </c>
      <c r="N158" s="21">
        <f>SUMPRODUCT(MAX((Брони!$B$2:$B$500=B158)*((Брони!$F$2:$F$500="Выдана")+(Брони!$F$2:$F$500="Возвращена"))*(Брони!$D$2:$D$500&lt;=A158)*Брони!$D$2:$D$500))</f>
        <v/>
      </c>
      <c r="O158" s="19">
        <f>SUMPRODUCT((Брони!$B$2:$B$500=B158)*(Брони!$D$2:$D$500=N158)*((((Брони!$F$2:$F$500="Выдана")*NOW())+((Брони!$F$2:$F$500="Возвращена")*Брони!$E$2:$E$500))&gt;=A158)*Брони!$A$2:$A$500)</f>
        <v/>
      </c>
      <c r="P158" s="19">
        <f>SUMPRODUCT((Брони!$B$2:$B$500=B158)*(Брони!$D$2:$D$500=N158)*(((Брони!$F$2:$F$500="Выдана")+(Брони!$F$2:$F$500="Возвращена"))))</f>
        <v/>
      </c>
      <c r="Q158" s="10" t="n"/>
    </row>
    <row r="159">
      <c r="A159" s="11" t="n"/>
      <c r="B159" s="10" t="n"/>
      <c r="C159" s="10" t="n"/>
      <c r="D159" s="14" t="n"/>
      <c r="E159" s="10" t="n"/>
      <c r="F159" s="20">
        <f>IF(OR(A159="",B159=""),"",IF(OR(NOT(ISNUMBER(A159)),ISERROR(N159+O159+P159)),"Проверьте даты",IF(AND(N159&gt;0,P159&gt;1),"Дубль",IF(AND(N159&gt;0,O159&gt;0),O159,"Вне аренды"))))</f>
        <v/>
      </c>
      <c r="G159" s="12">
        <f>IF(ISNUMBER(F159),IFERROR(INDEX(Брони!$C$2:$C$500,MATCH(F159,Брони!$A$2:$A$500,0)),""),"")</f>
        <v/>
      </c>
      <c r="H159" s="10" t="n"/>
      <c r="I159" s="18" t="n"/>
      <c r="J159" s="12">
        <f>IF(AND(ISNUMBER(F159),I159&lt;&gt;""),IFERROR(IF(AND(INDEX(Брони!$F$2:$F$500,MATCH(F159,Брони!$A$2:$A$500,0))="Возвращена",I159&gt;INDEX(Брони!$E$2:$E$500,MATCH(F159,Брони!$A$2:$A$500,0))),"Да",""),""),"")</f>
        <v/>
      </c>
      <c r="K159" s="10" t="n"/>
      <c r="L159" s="14" t="n"/>
      <c r="M159" s="15">
        <f>IF(OR(A159="",B159=""),"",IF(AND(ISNUMBER(F159),H159&lt;&gt;"Компания"),D159+L159,0))</f>
        <v/>
      </c>
      <c r="N159" s="21">
        <f>SUMPRODUCT(MAX((Брони!$B$2:$B$500=B159)*((Брони!$F$2:$F$500="Выдана")+(Брони!$F$2:$F$500="Возвращена"))*(Брони!$D$2:$D$500&lt;=A159)*Брони!$D$2:$D$500))</f>
        <v/>
      </c>
      <c r="O159" s="19">
        <f>SUMPRODUCT((Брони!$B$2:$B$500=B159)*(Брони!$D$2:$D$500=N159)*((((Брони!$F$2:$F$500="Выдана")*NOW())+((Брони!$F$2:$F$500="Возвращена")*Брони!$E$2:$E$500))&gt;=A159)*Брони!$A$2:$A$500)</f>
        <v/>
      </c>
      <c r="P159" s="19">
        <f>SUMPRODUCT((Брони!$B$2:$B$500=B159)*(Брони!$D$2:$D$500=N159)*(((Брони!$F$2:$F$500="Выдана")+(Брони!$F$2:$F$500="Возвращена"))))</f>
        <v/>
      </c>
      <c r="Q159" s="10" t="n"/>
    </row>
    <row r="160">
      <c r="A160" s="11" t="n"/>
      <c r="B160" s="10" t="n"/>
      <c r="C160" s="10" t="n"/>
      <c r="D160" s="14" t="n"/>
      <c r="E160" s="10" t="n"/>
      <c r="F160" s="20">
        <f>IF(OR(A160="",B160=""),"",IF(OR(NOT(ISNUMBER(A160)),ISERROR(N160+O160+P160)),"Проверьте даты",IF(AND(N160&gt;0,P160&gt;1),"Дубль",IF(AND(N160&gt;0,O160&gt;0),O160,"Вне аренды"))))</f>
        <v/>
      </c>
      <c r="G160" s="12">
        <f>IF(ISNUMBER(F160),IFERROR(INDEX(Брони!$C$2:$C$500,MATCH(F160,Брони!$A$2:$A$500,0)),""),"")</f>
        <v/>
      </c>
      <c r="H160" s="10" t="n"/>
      <c r="I160" s="18" t="n"/>
      <c r="J160" s="12">
        <f>IF(AND(ISNUMBER(F160),I160&lt;&gt;""),IFERROR(IF(AND(INDEX(Брони!$F$2:$F$500,MATCH(F160,Брони!$A$2:$A$500,0))="Возвращена",I160&gt;INDEX(Брони!$E$2:$E$500,MATCH(F160,Брони!$A$2:$A$500,0))),"Да",""),""),"")</f>
        <v/>
      </c>
      <c r="K160" s="10" t="n"/>
      <c r="L160" s="14" t="n"/>
      <c r="M160" s="15">
        <f>IF(OR(A160="",B160=""),"",IF(AND(ISNUMBER(F160),H160&lt;&gt;"Компания"),D160+L160,0))</f>
        <v/>
      </c>
      <c r="N160" s="21">
        <f>SUMPRODUCT(MAX((Брони!$B$2:$B$500=B160)*((Брони!$F$2:$F$500="Выдана")+(Брони!$F$2:$F$500="Возвращена"))*(Брони!$D$2:$D$500&lt;=A160)*Брони!$D$2:$D$500))</f>
        <v/>
      </c>
      <c r="O160" s="19">
        <f>SUMPRODUCT((Брони!$B$2:$B$500=B160)*(Брони!$D$2:$D$500=N160)*((((Брони!$F$2:$F$500="Выдана")*NOW())+((Брони!$F$2:$F$500="Возвращена")*Брони!$E$2:$E$500))&gt;=A160)*Брони!$A$2:$A$500)</f>
        <v/>
      </c>
      <c r="P160" s="19">
        <f>SUMPRODUCT((Брони!$B$2:$B$500=B160)*(Брони!$D$2:$D$500=N160)*(((Брони!$F$2:$F$500="Выдана")+(Брони!$F$2:$F$500="Возвращена"))))</f>
        <v/>
      </c>
      <c r="Q160" s="10" t="n"/>
    </row>
    <row r="161">
      <c r="A161" s="11" t="n"/>
      <c r="B161" s="10" t="n"/>
      <c r="C161" s="10" t="n"/>
      <c r="D161" s="14" t="n"/>
      <c r="E161" s="10" t="n"/>
      <c r="F161" s="20">
        <f>IF(OR(A161="",B161=""),"",IF(OR(NOT(ISNUMBER(A161)),ISERROR(N161+O161+P161)),"Проверьте даты",IF(AND(N161&gt;0,P161&gt;1),"Дубль",IF(AND(N161&gt;0,O161&gt;0),O161,"Вне аренды"))))</f>
        <v/>
      </c>
      <c r="G161" s="12">
        <f>IF(ISNUMBER(F161),IFERROR(INDEX(Брони!$C$2:$C$500,MATCH(F161,Брони!$A$2:$A$500,0)),""),"")</f>
        <v/>
      </c>
      <c r="H161" s="10" t="n"/>
      <c r="I161" s="18" t="n"/>
      <c r="J161" s="12">
        <f>IF(AND(ISNUMBER(F161),I161&lt;&gt;""),IFERROR(IF(AND(INDEX(Брони!$F$2:$F$500,MATCH(F161,Брони!$A$2:$A$500,0))="Возвращена",I161&gt;INDEX(Брони!$E$2:$E$500,MATCH(F161,Брони!$A$2:$A$500,0))),"Да",""),""),"")</f>
        <v/>
      </c>
      <c r="K161" s="10" t="n"/>
      <c r="L161" s="14" t="n"/>
      <c r="M161" s="15">
        <f>IF(OR(A161="",B161=""),"",IF(AND(ISNUMBER(F161),H161&lt;&gt;"Компания"),D161+L161,0))</f>
        <v/>
      </c>
      <c r="N161" s="21">
        <f>SUMPRODUCT(MAX((Брони!$B$2:$B$500=B161)*((Брони!$F$2:$F$500="Выдана")+(Брони!$F$2:$F$500="Возвращена"))*(Брони!$D$2:$D$500&lt;=A161)*Брони!$D$2:$D$500))</f>
        <v/>
      </c>
      <c r="O161" s="19">
        <f>SUMPRODUCT((Брони!$B$2:$B$500=B161)*(Брони!$D$2:$D$500=N161)*((((Брони!$F$2:$F$500="Выдана")*NOW())+((Брони!$F$2:$F$500="Возвращена")*Брони!$E$2:$E$500))&gt;=A161)*Брони!$A$2:$A$500)</f>
        <v/>
      </c>
      <c r="P161" s="19">
        <f>SUMPRODUCT((Брони!$B$2:$B$500=B161)*(Брони!$D$2:$D$500=N161)*(((Брони!$F$2:$F$500="Выдана")+(Брони!$F$2:$F$500="Возвращена"))))</f>
        <v/>
      </c>
      <c r="Q161" s="10" t="n"/>
    </row>
    <row r="162">
      <c r="A162" s="11" t="n"/>
      <c r="B162" s="10" t="n"/>
      <c r="C162" s="10" t="n"/>
      <c r="D162" s="14" t="n"/>
      <c r="E162" s="10" t="n"/>
      <c r="F162" s="20">
        <f>IF(OR(A162="",B162=""),"",IF(OR(NOT(ISNUMBER(A162)),ISERROR(N162+O162+P162)),"Проверьте даты",IF(AND(N162&gt;0,P162&gt;1),"Дубль",IF(AND(N162&gt;0,O162&gt;0),O162,"Вне аренды"))))</f>
        <v/>
      </c>
      <c r="G162" s="12">
        <f>IF(ISNUMBER(F162),IFERROR(INDEX(Брони!$C$2:$C$500,MATCH(F162,Брони!$A$2:$A$500,0)),""),"")</f>
        <v/>
      </c>
      <c r="H162" s="10" t="n"/>
      <c r="I162" s="18" t="n"/>
      <c r="J162" s="12">
        <f>IF(AND(ISNUMBER(F162),I162&lt;&gt;""),IFERROR(IF(AND(INDEX(Брони!$F$2:$F$500,MATCH(F162,Брони!$A$2:$A$500,0))="Возвращена",I162&gt;INDEX(Брони!$E$2:$E$500,MATCH(F162,Брони!$A$2:$A$500,0))),"Да",""),""),"")</f>
        <v/>
      </c>
      <c r="K162" s="10" t="n"/>
      <c r="L162" s="14" t="n"/>
      <c r="M162" s="15">
        <f>IF(OR(A162="",B162=""),"",IF(AND(ISNUMBER(F162),H162&lt;&gt;"Компания"),D162+L162,0))</f>
        <v/>
      </c>
      <c r="N162" s="21">
        <f>SUMPRODUCT(MAX((Брони!$B$2:$B$500=B162)*((Брони!$F$2:$F$500="Выдана")+(Брони!$F$2:$F$500="Возвращена"))*(Брони!$D$2:$D$500&lt;=A162)*Брони!$D$2:$D$500))</f>
        <v/>
      </c>
      <c r="O162" s="19">
        <f>SUMPRODUCT((Брони!$B$2:$B$500=B162)*(Брони!$D$2:$D$500=N162)*((((Брони!$F$2:$F$500="Выдана")*NOW())+((Брони!$F$2:$F$500="Возвращена")*Брони!$E$2:$E$500))&gt;=A162)*Брони!$A$2:$A$500)</f>
        <v/>
      </c>
      <c r="P162" s="19">
        <f>SUMPRODUCT((Брони!$B$2:$B$500=B162)*(Брони!$D$2:$D$500=N162)*(((Брони!$F$2:$F$500="Выдана")+(Брони!$F$2:$F$500="Возвращена"))))</f>
        <v/>
      </c>
      <c r="Q162" s="10" t="n"/>
    </row>
    <row r="163">
      <c r="A163" s="11" t="n"/>
      <c r="B163" s="10" t="n"/>
      <c r="C163" s="10" t="n"/>
      <c r="D163" s="14" t="n"/>
      <c r="E163" s="10" t="n"/>
      <c r="F163" s="20">
        <f>IF(OR(A163="",B163=""),"",IF(OR(NOT(ISNUMBER(A163)),ISERROR(N163+O163+P163)),"Проверьте даты",IF(AND(N163&gt;0,P163&gt;1),"Дубль",IF(AND(N163&gt;0,O163&gt;0),O163,"Вне аренды"))))</f>
        <v/>
      </c>
      <c r="G163" s="12">
        <f>IF(ISNUMBER(F163),IFERROR(INDEX(Брони!$C$2:$C$500,MATCH(F163,Брони!$A$2:$A$500,0)),""),"")</f>
        <v/>
      </c>
      <c r="H163" s="10" t="n"/>
      <c r="I163" s="18" t="n"/>
      <c r="J163" s="12">
        <f>IF(AND(ISNUMBER(F163),I163&lt;&gt;""),IFERROR(IF(AND(INDEX(Брони!$F$2:$F$500,MATCH(F163,Брони!$A$2:$A$500,0))="Возвращена",I163&gt;INDEX(Брони!$E$2:$E$500,MATCH(F163,Брони!$A$2:$A$500,0))),"Да",""),""),"")</f>
        <v/>
      </c>
      <c r="K163" s="10" t="n"/>
      <c r="L163" s="14" t="n"/>
      <c r="M163" s="15">
        <f>IF(OR(A163="",B163=""),"",IF(AND(ISNUMBER(F163),H163&lt;&gt;"Компания"),D163+L163,0))</f>
        <v/>
      </c>
      <c r="N163" s="21">
        <f>SUMPRODUCT(MAX((Брони!$B$2:$B$500=B163)*((Брони!$F$2:$F$500="Выдана")+(Брони!$F$2:$F$500="Возвращена"))*(Брони!$D$2:$D$500&lt;=A163)*Брони!$D$2:$D$500))</f>
        <v/>
      </c>
      <c r="O163" s="19">
        <f>SUMPRODUCT((Брони!$B$2:$B$500=B163)*(Брони!$D$2:$D$500=N163)*((((Брони!$F$2:$F$500="Выдана")*NOW())+((Брони!$F$2:$F$500="Возвращена")*Брони!$E$2:$E$500))&gt;=A163)*Брони!$A$2:$A$500)</f>
        <v/>
      </c>
      <c r="P163" s="19">
        <f>SUMPRODUCT((Брони!$B$2:$B$500=B163)*(Брони!$D$2:$D$500=N163)*(((Брони!$F$2:$F$500="Выдана")+(Брони!$F$2:$F$500="Возвращена"))))</f>
        <v/>
      </c>
      <c r="Q163" s="10" t="n"/>
    </row>
    <row r="164">
      <c r="A164" s="11" t="n"/>
      <c r="B164" s="10" t="n"/>
      <c r="C164" s="10" t="n"/>
      <c r="D164" s="14" t="n"/>
      <c r="E164" s="10" t="n"/>
      <c r="F164" s="20">
        <f>IF(OR(A164="",B164=""),"",IF(OR(NOT(ISNUMBER(A164)),ISERROR(N164+O164+P164)),"Проверьте даты",IF(AND(N164&gt;0,P164&gt;1),"Дубль",IF(AND(N164&gt;0,O164&gt;0),O164,"Вне аренды"))))</f>
        <v/>
      </c>
      <c r="G164" s="12">
        <f>IF(ISNUMBER(F164),IFERROR(INDEX(Брони!$C$2:$C$500,MATCH(F164,Брони!$A$2:$A$500,0)),""),"")</f>
        <v/>
      </c>
      <c r="H164" s="10" t="n"/>
      <c r="I164" s="18" t="n"/>
      <c r="J164" s="12">
        <f>IF(AND(ISNUMBER(F164),I164&lt;&gt;""),IFERROR(IF(AND(INDEX(Брони!$F$2:$F$500,MATCH(F164,Брони!$A$2:$A$500,0))="Возвращена",I164&gt;INDEX(Брони!$E$2:$E$500,MATCH(F164,Брони!$A$2:$A$500,0))),"Да",""),""),"")</f>
        <v/>
      </c>
      <c r="K164" s="10" t="n"/>
      <c r="L164" s="14" t="n"/>
      <c r="M164" s="15">
        <f>IF(OR(A164="",B164=""),"",IF(AND(ISNUMBER(F164),H164&lt;&gt;"Компания"),D164+L164,0))</f>
        <v/>
      </c>
      <c r="N164" s="21">
        <f>SUMPRODUCT(MAX((Брони!$B$2:$B$500=B164)*((Брони!$F$2:$F$500="Выдана")+(Брони!$F$2:$F$500="Возвращена"))*(Брони!$D$2:$D$500&lt;=A164)*Брони!$D$2:$D$500))</f>
        <v/>
      </c>
      <c r="O164" s="19">
        <f>SUMPRODUCT((Брони!$B$2:$B$500=B164)*(Брони!$D$2:$D$500=N164)*((((Брони!$F$2:$F$500="Выдана")*NOW())+((Брони!$F$2:$F$500="Возвращена")*Брони!$E$2:$E$500))&gt;=A164)*Брони!$A$2:$A$500)</f>
        <v/>
      </c>
      <c r="P164" s="19">
        <f>SUMPRODUCT((Брони!$B$2:$B$500=B164)*(Брони!$D$2:$D$500=N164)*(((Брони!$F$2:$F$500="Выдана")+(Брони!$F$2:$F$500="Возвращена"))))</f>
        <v/>
      </c>
      <c r="Q164" s="10" t="n"/>
    </row>
    <row r="165">
      <c r="A165" s="11" t="n"/>
      <c r="B165" s="10" t="n"/>
      <c r="C165" s="10" t="n"/>
      <c r="D165" s="14" t="n"/>
      <c r="E165" s="10" t="n"/>
      <c r="F165" s="20">
        <f>IF(OR(A165="",B165=""),"",IF(OR(NOT(ISNUMBER(A165)),ISERROR(N165+O165+P165)),"Проверьте даты",IF(AND(N165&gt;0,P165&gt;1),"Дубль",IF(AND(N165&gt;0,O165&gt;0),O165,"Вне аренды"))))</f>
        <v/>
      </c>
      <c r="G165" s="12">
        <f>IF(ISNUMBER(F165),IFERROR(INDEX(Брони!$C$2:$C$500,MATCH(F165,Брони!$A$2:$A$500,0)),""),"")</f>
        <v/>
      </c>
      <c r="H165" s="10" t="n"/>
      <c r="I165" s="18" t="n"/>
      <c r="J165" s="12">
        <f>IF(AND(ISNUMBER(F165),I165&lt;&gt;""),IFERROR(IF(AND(INDEX(Брони!$F$2:$F$500,MATCH(F165,Брони!$A$2:$A$500,0))="Возвращена",I165&gt;INDEX(Брони!$E$2:$E$500,MATCH(F165,Брони!$A$2:$A$500,0))),"Да",""),""),"")</f>
        <v/>
      </c>
      <c r="K165" s="10" t="n"/>
      <c r="L165" s="14" t="n"/>
      <c r="M165" s="15">
        <f>IF(OR(A165="",B165=""),"",IF(AND(ISNUMBER(F165),H165&lt;&gt;"Компания"),D165+L165,0))</f>
        <v/>
      </c>
      <c r="N165" s="21">
        <f>SUMPRODUCT(MAX((Брони!$B$2:$B$500=B165)*((Брони!$F$2:$F$500="Выдана")+(Брони!$F$2:$F$500="Возвращена"))*(Брони!$D$2:$D$500&lt;=A165)*Брони!$D$2:$D$500))</f>
        <v/>
      </c>
      <c r="O165" s="19">
        <f>SUMPRODUCT((Брони!$B$2:$B$500=B165)*(Брони!$D$2:$D$500=N165)*((((Брони!$F$2:$F$500="Выдана")*NOW())+((Брони!$F$2:$F$500="Возвращена")*Брони!$E$2:$E$500))&gt;=A165)*Брони!$A$2:$A$500)</f>
        <v/>
      </c>
      <c r="P165" s="19">
        <f>SUMPRODUCT((Брони!$B$2:$B$500=B165)*(Брони!$D$2:$D$500=N165)*(((Брони!$F$2:$F$500="Выдана")+(Брони!$F$2:$F$500="Возвращена"))))</f>
        <v/>
      </c>
      <c r="Q165" s="10" t="n"/>
    </row>
    <row r="166">
      <c r="A166" s="11" t="n"/>
      <c r="B166" s="10" t="n"/>
      <c r="C166" s="10" t="n"/>
      <c r="D166" s="14" t="n"/>
      <c r="E166" s="10" t="n"/>
      <c r="F166" s="20">
        <f>IF(OR(A166="",B166=""),"",IF(OR(NOT(ISNUMBER(A166)),ISERROR(N166+O166+P166)),"Проверьте даты",IF(AND(N166&gt;0,P166&gt;1),"Дубль",IF(AND(N166&gt;0,O166&gt;0),O166,"Вне аренды"))))</f>
        <v/>
      </c>
      <c r="G166" s="12">
        <f>IF(ISNUMBER(F166),IFERROR(INDEX(Брони!$C$2:$C$500,MATCH(F166,Брони!$A$2:$A$500,0)),""),"")</f>
        <v/>
      </c>
      <c r="H166" s="10" t="n"/>
      <c r="I166" s="18" t="n"/>
      <c r="J166" s="12">
        <f>IF(AND(ISNUMBER(F166),I166&lt;&gt;""),IFERROR(IF(AND(INDEX(Брони!$F$2:$F$500,MATCH(F166,Брони!$A$2:$A$500,0))="Возвращена",I166&gt;INDEX(Брони!$E$2:$E$500,MATCH(F166,Брони!$A$2:$A$500,0))),"Да",""),""),"")</f>
        <v/>
      </c>
      <c r="K166" s="10" t="n"/>
      <c r="L166" s="14" t="n"/>
      <c r="M166" s="15">
        <f>IF(OR(A166="",B166=""),"",IF(AND(ISNUMBER(F166),H166&lt;&gt;"Компания"),D166+L166,0))</f>
        <v/>
      </c>
      <c r="N166" s="21">
        <f>SUMPRODUCT(MAX((Брони!$B$2:$B$500=B166)*((Брони!$F$2:$F$500="Выдана")+(Брони!$F$2:$F$500="Возвращена"))*(Брони!$D$2:$D$500&lt;=A166)*Брони!$D$2:$D$500))</f>
        <v/>
      </c>
      <c r="O166" s="19">
        <f>SUMPRODUCT((Брони!$B$2:$B$500=B166)*(Брони!$D$2:$D$500=N166)*((((Брони!$F$2:$F$500="Выдана")*NOW())+((Брони!$F$2:$F$500="Возвращена")*Брони!$E$2:$E$500))&gt;=A166)*Брони!$A$2:$A$500)</f>
        <v/>
      </c>
      <c r="P166" s="19">
        <f>SUMPRODUCT((Брони!$B$2:$B$500=B166)*(Брони!$D$2:$D$500=N166)*(((Брони!$F$2:$F$500="Выдана")+(Брони!$F$2:$F$500="Возвращена"))))</f>
        <v/>
      </c>
      <c r="Q166" s="10" t="n"/>
    </row>
    <row r="167">
      <c r="A167" s="11" t="n"/>
      <c r="B167" s="10" t="n"/>
      <c r="C167" s="10" t="n"/>
      <c r="D167" s="14" t="n"/>
      <c r="E167" s="10" t="n"/>
      <c r="F167" s="20">
        <f>IF(OR(A167="",B167=""),"",IF(OR(NOT(ISNUMBER(A167)),ISERROR(N167+O167+P167)),"Проверьте даты",IF(AND(N167&gt;0,P167&gt;1),"Дубль",IF(AND(N167&gt;0,O167&gt;0),O167,"Вне аренды"))))</f>
        <v/>
      </c>
      <c r="G167" s="12">
        <f>IF(ISNUMBER(F167),IFERROR(INDEX(Брони!$C$2:$C$500,MATCH(F167,Брони!$A$2:$A$500,0)),""),"")</f>
        <v/>
      </c>
      <c r="H167" s="10" t="n"/>
      <c r="I167" s="18" t="n"/>
      <c r="J167" s="12">
        <f>IF(AND(ISNUMBER(F167),I167&lt;&gt;""),IFERROR(IF(AND(INDEX(Брони!$F$2:$F$500,MATCH(F167,Брони!$A$2:$A$500,0))="Возвращена",I167&gt;INDEX(Брони!$E$2:$E$500,MATCH(F167,Брони!$A$2:$A$500,0))),"Да",""),""),"")</f>
        <v/>
      </c>
      <c r="K167" s="10" t="n"/>
      <c r="L167" s="14" t="n"/>
      <c r="M167" s="15">
        <f>IF(OR(A167="",B167=""),"",IF(AND(ISNUMBER(F167),H167&lt;&gt;"Компания"),D167+L167,0))</f>
        <v/>
      </c>
      <c r="N167" s="21">
        <f>SUMPRODUCT(MAX((Брони!$B$2:$B$500=B167)*((Брони!$F$2:$F$500="Выдана")+(Брони!$F$2:$F$500="Возвращена"))*(Брони!$D$2:$D$500&lt;=A167)*Брони!$D$2:$D$500))</f>
        <v/>
      </c>
      <c r="O167" s="19">
        <f>SUMPRODUCT((Брони!$B$2:$B$500=B167)*(Брони!$D$2:$D$500=N167)*((((Брони!$F$2:$F$500="Выдана")*NOW())+((Брони!$F$2:$F$500="Возвращена")*Брони!$E$2:$E$500))&gt;=A167)*Брони!$A$2:$A$500)</f>
        <v/>
      </c>
      <c r="P167" s="19">
        <f>SUMPRODUCT((Брони!$B$2:$B$500=B167)*(Брони!$D$2:$D$500=N167)*(((Брони!$F$2:$F$500="Выдана")+(Брони!$F$2:$F$500="Возвращена"))))</f>
        <v/>
      </c>
      <c r="Q167" s="10" t="n"/>
    </row>
    <row r="168">
      <c r="A168" s="11" t="n"/>
      <c r="B168" s="10" t="n"/>
      <c r="C168" s="10" t="n"/>
      <c r="D168" s="14" t="n"/>
      <c r="E168" s="10" t="n"/>
      <c r="F168" s="20">
        <f>IF(OR(A168="",B168=""),"",IF(OR(NOT(ISNUMBER(A168)),ISERROR(N168+O168+P168)),"Проверьте даты",IF(AND(N168&gt;0,P168&gt;1),"Дубль",IF(AND(N168&gt;0,O168&gt;0),O168,"Вне аренды"))))</f>
        <v/>
      </c>
      <c r="G168" s="12">
        <f>IF(ISNUMBER(F168),IFERROR(INDEX(Брони!$C$2:$C$500,MATCH(F168,Брони!$A$2:$A$500,0)),""),"")</f>
        <v/>
      </c>
      <c r="H168" s="10" t="n"/>
      <c r="I168" s="18" t="n"/>
      <c r="J168" s="12">
        <f>IF(AND(ISNUMBER(F168),I168&lt;&gt;""),IFERROR(IF(AND(INDEX(Брони!$F$2:$F$500,MATCH(F168,Брони!$A$2:$A$500,0))="Возвращена",I168&gt;INDEX(Брони!$E$2:$E$500,MATCH(F168,Брони!$A$2:$A$500,0))),"Да",""),""),"")</f>
        <v/>
      </c>
      <c r="K168" s="10" t="n"/>
      <c r="L168" s="14" t="n"/>
      <c r="M168" s="15">
        <f>IF(OR(A168="",B168=""),"",IF(AND(ISNUMBER(F168),H168&lt;&gt;"Компания"),D168+L168,0))</f>
        <v/>
      </c>
      <c r="N168" s="21">
        <f>SUMPRODUCT(MAX((Брони!$B$2:$B$500=B168)*((Брони!$F$2:$F$500="Выдана")+(Брони!$F$2:$F$500="Возвращена"))*(Брони!$D$2:$D$500&lt;=A168)*Брони!$D$2:$D$500))</f>
        <v/>
      </c>
      <c r="O168" s="19">
        <f>SUMPRODUCT((Брони!$B$2:$B$500=B168)*(Брони!$D$2:$D$500=N168)*((((Брони!$F$2:$F$500="Выдана")*NOW())+((Брони!$F$2:$F$500="Возвращена")*Брони!$E$2:$E$500))&gt;=A168)*Брони!$A$2:$A$500)</f>
        <v/>
      </c>
      <c r="P168" s="19">
        <f>SUMPRODUCT((Брони!$B$2:$B$500=B168)*(Брони!$D$2:$D$500=N168)*(((Брони!$F$2:$F$500="Выдана")+(Брони!$F$2:$F$500="Возвращена"))))</f>
        <v/>
      </c>
      <c r="Q168" s="10" t="n"/>
    </row>
    <row r="169">
      <c r="A169" s="11" t="n"/>
      <c r="B169" s="10" t="n"/>
      <c r="C169" s="10" t="n"/>
      <c r="D169" s="14" t="n"/>
      <c r="E169" s="10" t="n"/>
      <c r="F169" s="20">
        <f>IF(OR(A169="",B169=""),"",IF(OR(NOT(ISNUMBER(A169)),ISERROR(N169+O169+P169)),"Проверьте даты",IF(AND(N169&gt;0,P169&gt;1),"Дубль",IF(AND(N169&gt;0,O169&gt;0),O169,"Вне аренды"))))</f>
        <v/>
      </c>
      <c r="G169" s="12">
        <f>IF(ISNUMBER(F169),IFERROR(INDEX(Брони!$C$2:$C$500,MATCH(F169,Брони!$A$2:$A$500,0)),""),"")</f>
        <v/>
      </c>
      <c r="H169" s="10" t="n"/>
      <c r="I169" s="18" t="n"/>
      <c r="J169" s="12">
        <f>IF(AND(ISNUMBER(F169),I169&lt;&gt;""),IFERROR(IF(AND(INDEX(Брони!$F$2:$F$500,MATCH(F169,Брони!$A$2:$A$500,0))="Возвращена",I169&gt;INDEX(Брони!$E$2:$E$500,MATCH(F169,Брони!$A$2:$A$500,0))),"Да",""),""),"")</f>
        <v/>
      </c>
      <c r="K169" s="10" t="n"/>
      <c r="L169" s="14" t="n"/>
      <c r="M169" s="15">
        <f>IF(OR(A169="",B169=""),"",IF(AND(ISNUMBER(F169),H169&lt;&gt;"Компания"),D169+L169,0))</f>
        <v/>
      </c>
      <c r="N169" s="21">
        <f>SUMPRODUCT(MAX((Брони!$B$2:$B$500=B169)*((Брони!$F$2:$F$500="Выдана")+(Брони!$F$2:$F$500="Возвращена"))*(Брони!$D$2:$D$500&lt;=A169)*Брони!$D$2:$D$500))</f>
        <v/>
      </c>
      <c r="O169" s="19">
        <f>SUMPRODUCT((Брони!$B$2:$B$500=B169)*(Брони!$D$2:$D$500=N169)*((((Брони!$F$2:$F$500="Выдана")*NOW())+((Брони!$F$2:$F$500="Возвращена")*Брони!$E$2:$E$500))&gt;=A169)*Брони!$A$2:$A$500)</f>
        <v/>
      </c>
      <c r="P169" s="19">
        <f>SUMPRODUCT((Брони!$B$2:$B$500=B169)*(Брони!$D$2:$D$500=N169)*(((Брони!$F$2:$F$500="Выдана")+(Брони!$F$2:$F$500="Возвращена"))))</f>
        <v/>
      </c>
      <c r="Q169" s="10" t="n"/>
    </row>
    <row r="170">
      <c r="A170" s="11" t="n"/>
      <c r="B170" s="10" t="n"/>
      <c r="C170" s="10" t="n"/>
      <c r="D170" s="14" t="n"/>
      <c r="E170" s="10" t="n"/>
      <c r="F170" s="20">
        <f>IF(OR(A170="",B170=""),"",IF(OR(NOT(ISNUMBER(A170)),ISERROR(N170+O170+P170)),"Проверьте даты",IF(AND(N170&gt;0,P170&gt;1),"Дубль",IF(AND(N170&gt;0,O170&gt;0),O170,"Вне аренды"))))</f>
        <v/>
      </c>
      <c r="G170" s="12">
        <f>IF(ISNUMBER(F170),IFERROR(INDEX(Брони!$C$2:$C$500,MATCH(F170,Брони!$A$2:$A$500,0)),""),"")</f>
        <v/>
      </c>
      <c r="H170" s="10" t="n"/>
      <c r="I170" s="18" t="n"/>
      <c r="J170" s="12">
        <f>IF(AND(ISNUMBER(F170),I170&lt;&gt;""),IFERROR(IF(AND(INDEX(Брони!$F$2:$F$500,MATCH(F170,Брони!$A$2:$A$500,0))="Возвращена",I170&gt;INDEX(Брони!$E$2:$E$500,MATCH(F170,Брони!$A$2:$A$500,0))),"Да",""),""),"")</f>
        <v/>
      </c>
      <c r="K170" s="10" t="n"/>
      <c r="L170" s="14" t="n"/>
      <c r="M170" s="15">
        <f>IF(OR(A170="",B170=""),"",IF(AND(ISNUMBER(F170),H170&lt;&gt;"Компания"),D170+L170,0))</f>
        <v/>
      </c>
      <c r="N170" s="21">
        <f>SUMPRODUCT(MAX((Брони!$B$2:$B$500=B170)*((Брони!$F$2:$F$500="Выдана")+(Брони!$F$2:$F$500="Возвращена"))*(Брони!$D$2:$D$500&lt;=A170)*Брони!$D$2:$D$500))</f>
        <v/>
      </c>
      <c r="O170" s="19">
        <f>SUMPRODUCT((Брони!$B$2:$B$500=B170)*(Брони!$D$2:$D$500=N170)*((((Брони!$F$2:$F$500="Выдана")*NOW())+((Брони!$F$2:$F$500="Возвращена")*Брони!$E$2:$E$500))&gt;=A170)*Брони!$A$2:$A$500)</f>
        <v/>
      </c>
      <c r="P170" s="19">
        <f>SUMPRODUCT((Брони!$B$2:$B$500=B170)*(Брони!$D$2:$D$500=N170)*(((Брони!$F$2:$F$500="Выдана")+(Брони!$F$2:$F$500="Возвращена"))))</f>
        <v/>
      </c>
      <c r="Q170" s="10" t="n"/>
    </row>
    <row r="171">
      <c r="A171" s="11" t="n"/>
      <c r="B171" s="10" t="n"/>
      <c r="C171" s="10" t="n"/>
      <c r="D171" s="14" t="n"/>
      <c r="E171" s="10" t="n"/>
      <c r="F171" s="20">
        <f>IF(OR(A171="",B171=""),"",IF(OR(NOT(ISNUMBER(A171)),ISERROR(N171+O171+P171)),"Проверьте даты",IF(AND(N171&gt;0,P171&gt;1),"Дубль",IF(AND(N171&gt;0,O171&gt;0),O171,"Вне аренды"))))</f>
        <v/>
      </c>
      <c r="G171" s="12">
        <f>IF(ISNUMBER(F171),IFERROR(INDEX(Брони!$C$2:$C$500,MATCH(F171,Брони!$A$2:$A$500,0)),""),"")</f>
        <v/>
      </c>
      <c r="H171" s="10" t="n"/>
      <c r="I171" s="18" t="n"/>
      <c r="J171" s="12">
        <f>IF(AND(ISNUMBER(F171),I171&lt;&gt;""),IFERROR(IF(AND(INDEX(Брони!$F$2:$F$500,MATCH(F171,Брони!$A$2:$A$500,0))="Возвращена",I171&gt;INDEX(Брони!$E$2:$E$500,MATCH(F171,Брони!$A$2:$A$500,0))),"Да",""),""),"")</f>
        <v/>
      </c>
      <c r="K171" s="10" t="n"/>
      <c r="L171" s="14" t="n"/>
      <c r="M171" s="15">
        <f>IF(OR(A171="",B171=""),"",IF(AND(ISNUMBER(F171),H171&lt;&gt;"Компания"),D171+L171,0))</f>
        <v/>
      </c>
      <c r="N171" s="21">
        <f>SUMPRODUCT(MAX((Брони!$B$2:$B$500=B171)*((Брони!$F$2:$F$500="Выдана")+(Брони!$F$2:$F$500="Возвращена"))*(Брони!$D$2:$D$500&lt;=A171)*Брони!$D$2:$D$500))</f>
        <v/>
      </c>
      <c r="O171" s="19">
        <f>SUMPRODUCT((Брони!$B$2:$B$500=B171)*(Брони!$D$2:$D$500=N171)*((((Брони!$F$2:$F$500="Выдана")*NOW())+((Брони!$F$2:$F$500="Возвращена")*Брони!$E$2:$E$500))&gt;=A171)*Брони!$A$2:$A$500)</f>
        <v/>
      </c>
      <c r="P171" s="19">
        <f>SUMPRODUCT((Брони!$B$2:$B$500=B171)*(Брони!$D$2:$D$500=N171)*(((Брони!$F$2:$F$500="Выдана")+(Брони!$F$2:$F$500="Возвращена"))))</f>
        <v/>
      </c>
      <c r="Q171" s="10" t="n"/>
    </row>
    <row r="172">
      <c r="A172" s="11" t="n"/>
      <c r="B172" s="10" t="n"/>
      <c r="C172" s="10" t="n"/>
      <c r="D172" s="14" t="n"/>
      <c r="E172" s="10" t="n"/>
      <c r="F172" s="20">
        <f>IF(OR(A172="",B172=""),"",IF(OR(NOT(ISNUMBER(A172)),ISERROR(N172+O172+P172)),"Проверьте даты",IF(AND(N172&gt;0,P172&gt;1),"Дубль",IF(AND(N172&gt;0,O172&gt;0),O172,"Вне аренды"))))</f>
        <v/>
      </c>
      <c r="G172" s="12">
        <f>IF(ISNUMBER(F172),IFERROR(INDEX(Брони!$C$2:$C$500,MATCH(F172,Брони!$A$2:$A$500,0)),""),"")</f>
        <v/>
      </c>
      <c r="H172" s="10" t="n"/>
      <c r="I172" s="18" t="n"/>
      <c r="J172" s="12">
        <f>IF(AND(ISNUMBER(F172),I172&lt;&gt;""),IFERROR(IF(AND(INDEX(Брони!$F$2:$F$500,MATCH(F172,Брони!$A$2:$A$500,0))="Возвращена",I172&gt;INDEX(Брони!$E$2:$E$500,MATCH(F172,Брони!$A$2:$A$500,0))),"Да",""),""),"")</f>
        <v/>
      </c>
      <c r="K172" s="10" t="n"/>
      <c r="L172" s="14" t="n"/>
      <c r="M172" s="15">
        <f>IF(OR(A172="",B172=""),"",IF(AND(ISNUMBER(F172),H172&lt;&gt;"Компания"),D172+L172,0))</f>
        <v/>
      </c>
      <c r="N172" s="21">
        <f>SUMPRODUCT(MAX((Брони!$B$2:$B$500=B172)*((Брони!$F$2:$F$500="Выдана")+(Брони!$F$2:$F$500="Возвращена"))*(Брони!$D$2:$D$500&lt;=A172)*Брони!$D$2:$D$500))</f>
        <v/>
      </c>
      <c r="O172" s="19">
        <f>SUMPRODUCT((Брони!$B$2:$B$500=B172)*(Брони!$D$2:$D$500=N172)*((((Брони!$F$2:$F$500="Выдана")*NOW())+((Брони!$F$2:$F$500="Возвращена")*Брони!$E$2:$E$500))&gt;=A172)*Брони!$A$2:$A$500)</f>
        <v/>
      </c>
      <c r="P172" s="19">
        <f>SUMPRODUCT((Брони!$B$2:$B$500=B172)*(Брони!$D$2:$D$500=N172)*(((Брони!$F$2:$F$500="Выдана")+(Брони!$F$2:$F$500="Возвращена"))))</f>
        <v/>
      </c>
      <c r="Q172" s="10" t="n"/>
    </row>
    <row r="173">
      <c r="A173" s="11" t="n"/>
      <c r="B173" s="10" t="n"/>
      <c r="C173" s="10" t="n"/>
      <c r="D173" s="14" t="n"/>
      <c r="E173" s="10" t="n"/>
      <c r="F173" s="20">
        <f>IF(OR(A173="",B173=""),"",IF(OR(NOT(ISNUMBER(A173)),ISERROR(N173+O173+P173)),"Проверьте даты",IF(AND(N173&gt;0,P173&gt;1),"Дубль",IF(AND(N173&gt;0,O173&gt;0),O173,"Вне аренды"))))</f>
        <v/>
      </c>
      <c r="G173" s="12">
        <f>IF(ISNUMBER(F173),IFERROR(INDEX(Брони!$C$2:$C$500,MATCH(F173,Брони!$A$2:$A$500,0)),""),"")</f>
        <v/>
      </c>
      <c r="H173" s="10" t="n"/>
      <c r="I173" s="18" t="n"/>
      <c r="J173" s="12">
        <f>IF(AND(ISNUMBER(F173),I173&lt;&gt;""),IFERROR(IF(AND(INDEX(Брони!$F$2:$F$500,MATCH(F173,Брони!$A$2:$A$500,0))="Возвращена",I173&gt;INDEX(Брони!$E$2:$E$500,MATCH(F173,Брони!$A$2:$A$500,0))),"Да",""),""),"")</f>
        <v/>
      </c>
      <c r="K173" s="10" t="n"/>
      <c r="L173" s="14" t="n"/>
      <c r="M173" s="15">
        <f>IF(OR(A173="",B173=""),"",IF(AND(ISNUMBER(F173),H173&lt;&gt;"Компания"),D173+L173,0))</f>
        <v/>
      </c>
      <c r="N173" s="21">
        <f>SUMPRODUCT(MAX((Брони!$B$2:$B$500=B173)*((Брони!$F$2:$F$500="Выдана")+(Брони!$F$2:$F$500="Возвращена"))*(Брони!$D$2:$D$500&lt;=A173)*Брони!$D$2:$D$500))</f>
        <v/>
      </c>
      <c r="O173" s="19">
        <f>SUMPRODUCT((Брони!$B$2:$B$500=B173)*(Брони!$D$2:$D$500=N173)*((((Брони!$F$2:$F$500="Выдана")*NOW())+((Брони!$F$2:$F$500="Возвращена")*Брони!$E$2:$E$500))&gt;=A173)*Брони!$A$2:$A$500)</f>
        <v/>
      </c>
      <c r="P173" s="19">
        <f>SUMPRODUCT((Брони!$B$2:$B$500=B173)*(Брони!$D$2:$D$500=N173)*(((Брони!$F$2:$F$500="Выдана")+(Брони!$F$2:$F$500="Возвращена"))))</f>
        <v/>
      </c>
      <c r="Q173" s="10" t="n"/>
    </row>
    <row r="174">
      <c r="A174" s="11" t="n"/>
      <c r="B174" s="10" t="n"/>
      <c r="C174" s="10" t="n"/>
      <c r="D174" s="14" t="n"/>
      <c r="E174" s="10" t="n"/>
      <c r="F174" s="20">
        <f>IF(OR(A174="",B174=""),"",IF(OR(NOT(ISNUMBER(A174)),ISERROR(N174+O174+P174)),"Проверьте даты",IF(AND(N174&gt;0,P174&gt;1),"Дубль",IF(AND(N174&gt;0,O174&gt;0),O174,"Вне аренды"))))</f>
        <v/>
      </c>
      <c r="G174" s="12">
        <f>IF(ISNUMBER(F174),IFERROR(INDEX(Брони!$C$2:$C$500,MATCH(F174,Брони!$A$2:$A$500,0)),""),"")</f>
        <v/>
      </c>
      <c r="H174" s="10" t="n"/>
      <c r="I174" s="18" t="n"/>
      <c r="J174" s="12">
        <f>IF(AND(ISNUMBER(F174),I174&lt;&gt;""),IFERROR(IF(AND(INDEX(Брони!$F$2:$F$500,MATCH(F174,Брони!$A$2:$A$500,0))="Возвращена",I174&gt;INDEX(Брони!$E$2:$E$500,MATCH(F174,Брони!$A$2:$A$500,0))),"Да",""),""),"")</f>
        <v/>
      </c>
      <c r="K174" s="10" t="n"/>
      <c r="L174" s="14" t="n"/>
      <c r="M174" s="15">
        <f>IF(OR(A174="",B174=""),"",IF(AND(ISNUMBER(F174),H174&lt;&gt;"Компания"),D174+L174,0))</f>
        <v/>
      </c>
      <c r="N174" s="21">
        <f>SUMPRODUCT(MAX((Брони!$B$2:$B$500=B174)*((Брони!$F$2:$F$500="Выдана")+(Брони!$F$2:$F$500="Возвращена"))*(Брони!$D$2:$D$500&lt;=A174)*Брони!$D$2:$D$500))</f>
        <v/>
      </c>
      <c r="O174" s="19">
        <f>SUMPRODUCT((Брони!$B$2:$B$500=B174)*(Брони!$D$2:$D$500=N174)*((((Брони!$F$2:$F$500="Выдана")*NOW())+((Брони!$F$2:$F$500="Возвращена")*Брони!$E$2:$E$500))&gt;=A174)*Брони!$A$2:$A$500)</f>
        <v/>
      </c>
      <c r="P174" s="19">
        <f>SUMPRODUCT((Брони!$B$2:$B$500=B174)*(Брони!$D$2:$D$500=N174)*(((Брони!$F$2:$F$500="Выдана")+(Брони!$F$2:$F$500="Возвращена"))))</f>
        <v/>
      </c>
      <c r="Q174" s="10" t="n"/>
    </row>
    <row r="175">
      <c r="A175" s="11" t="n"/>
      <c r="B175" s="10" t="n"/>
      <c r="C175" s="10" t="n"/>
      <c r="D175" s="14" t="n"/>
      <c r="E175" s="10" t="n"/>
      <c r="F175" s="20">
        <f>IF(OR(A175="",B175=""),"",IF(OR(NOT(ISNUMBER(A175)),ISERROR(N175+O175+P175)),"Проверьте даты",IF(AND(N175&gt;0,P175&gt;1),"Дубль",IF(AND(N175&gt;0,O175&gt;0),O175,"Вне аренды"))))</f>
        <v/>
      </c>
      <c r="G175" s="12">
        <f>IF(ISNUMBER(F175),IFERROR(INDEX(Брони!$C$2:$C$500,MATCH(F175,Брони!$A$2:$A$500,0)),""),"")</f>
        <v/>
      </c>
      <c r="H175" s="10" t="n"/>
      <c r="I175" s="18" t="n"/>
      <c r="J175" s="12">
        <f>IF(AND(ISNUMBER(F175),I175&lt;&gt;""),IFERROR(IF(AND(INDEX(Брони!$F$2:$F$500,MATCH(F175,Брони!$A$2:$A$500,0))="Возвращена",I175&gt;INDEX(Брони!$E$2:$E$500,MATCH(F175,Брони!$A$2:$A$500,0))),"Да",""),""),"")</f>
        <v/>
      </c>
      <c r="K175" s="10" t="n"/>
      <c r="L175" s="14" t="n"/>
      <c r="M175" s="15">
        <f>IF(OR(A175="",B175=""),"",IF(AND(ISNUMBER(F175),H175&lt;&gt;"Компания"),D175+L175,0))</f>
        <v/>
      </c>
      <c r="N175" s="21">
        <f>SUMPRODUCT(MAX((Брони!$B$2:$B$500=B175)*((Брони!$F$2:$F$500="Выдана")+(Брони!$F$2:$F$500="Возвращена"))*(Брони!$D$2:$D$500&lt;=A175)*Брони!$D$2:$D$500))</f>
        <v/>
      </c>
      <c r="O175" s="19">
        <f>SUMPRODUCT((Брони!$B$2:$B$500=B175)*(Брони!$D$2:$D$500=N175)*((((Брони!$F$2:$F$500="Выдана")*NOW())+((Брони!$F$2:$F$500="Возвращена")*Брони!$E$2:$E$500))&gt;=A175)*Брони!$A$2:$A$500)</f>
        <v/>
      </c>
      <c r="P175" s="19">
        <f>SUMPRODUCT((Брони!$B$2:$B$500=B175)*(Брони!$D$2:$D$500=N175)*(((Брони!$F$2:$F$500="Выдана")+(Брони!$F$2:$F$500="Возвращена"))))</f>
        <v/>
      </c>
      <c r="Q175" s="10" t="n"/>
    </row>
    <row r="176">
      <c r="A176" s="11" t="n"/>
      <c r="B176" s="10" t="n"/>
      <c r="C176" s="10" t="n"/>
      <c r="D176" s="14" t="n"/>
      <c r="E176" s="10" t="n"/>
      <c r="F176" s="20">
        <f>IF(OR(A176="",B176=""),"",IF(OR(NOT(ISNUMBER(A176)),ISERROR(N176+O176+P176)),"Проверьте даты",IF(AND(N176&gt;0,P176&gt;1),"Дубль",IF(AND(N176&gt;0,O176&gt;0),O176,"Вне аренды"))))</f>
        <v/>
      </c>
      <c r="G176" s="12">
        <f>IF(ISNUMBER(F176),IFERROR(INDEX(Брони!$C$2:$C$500,MATCH(F176,Брони!$A$2:$A$500,0)),""),"")</f>
        <v/>
      </c>
      <c r="H176" s="10" t="n"/>
      <c r="I176" s="18" t="n"/>
      <c r="J176" s="12">
        <f>IF(AND(ISNUMBER(F176),I176&lt;&gt;""),IFERROR(IF(AND(INDEX(Брони!$F$2:$F$500,MATCH(F176,Брони!$A$2:$A$500,0))="Возвращена",I176&gt;INDEX(Брони!$E$2:$E$500,MATCH(F176,Брони!$A$2:$A$500,0))),"Да",""),""),"")</f>
        <v/>
      </c>
      <c r="K176" s="10" t="n"/>
      <c r="L176" s="14" t="n"/>
      <c r="M176" s="15">
        <f>IF(OR(A176="",B176=""),"",IF(AND(ISNUMBER(F176),H176&lt;&gt;"Компания"),D176+L176,0))</f>
        <v/>
      </c>
      <c r="N176" s="21">
        <f>SUMPRODUCT(MAX((Брони!$B$2:$B$500=B176)*((Брони!$F$2:$F$500="Выдана")+(Брони!$F$2:$F$500="Возвращена"))*(Брони!$D$2:$D$500&lt;=A176)*Брони!$D$2:$D$500))</f>
        <v/>
      </c>
      <c r="O176" s="19">
        <f>SUMPRODUCT((Брони!$B$2:$B$500=B176)*(Брони!$D$2:$D$500=N176)*((((Брони!$F$2:$F$500="Выдана")*NOW())+((Брони!$F$2:$F$500="Возвращена")*Брони!$E$2:$E$500))&gt;=A176)*Брони!$A$2:$A$500)</f>
        <v/>
      </c>
      <c r="P176" s="19">
        <f>SUMPRODUCT((Брони!$B$2:$B$500=B176)*(Брони!$D$2:$D$500=N176)*(((Брони!$F$2:$F$500="Выдана")+(Брони!$F$2:$F$500="Возвращена"))))</f>
        <v/>
      </c>
      <c r="Q176" s="10" t="n"/>
    </row>
    <row r="177">
      <c r="A177" s="11" t="n"/>
      <c r="B177" s="10" t="n"/>
      <c r="C177" s="10" t="n"/>
      <c r="D177" s="14" t="n"/>
      <c r="E177" s="10" t="n"/>
      <c r="F177" s="20">
        <f>IF(OR(A177="",B177=""),"",IF(OR(NOT(ISNUMBER(A177)),ISERROR(N177+O177+P177)),"Проверьте даты",IF(AND(N177&gt;0,P177&gt;1),"Дубль",IF(AND(N177&gt;0,O177&gt;0),O177,"Вне аренды"))))</f>
        <v/>
      </c>
      <c r="G177" s="12">
        <f>IF(ISNUMBER(F177),IFERROR(INDEX(Брони!$C$2:$C$500,MATCH(F177,Брони!$A$2:$A$500,0)),""),"")</f>
        <v/>
      </c>
      <c r="H177" s="10" t="n"/>
      <c r="I177" s="18" t="n"/>
      <c r="J177" s="12">
        <f>IF(AND(ISNUMBER(F177),I177&lt;&gt;""),IFERROR(IF(AND(INDEX(Брони!$F$2:$F$500,MATCH(F177,Брони!$A$2:$A$500,0))="Возвращена",I177&gt;INDEX(Брони!$E$2:$E$500,MATCH(F177,Брони!$A$2:$A$500,0))),"Да",""),""),"")</f>
        <v/>
      </c>
      <c r="K177" s="10" t="n"/>
      <c r="L177" s="14" t="n"/>
      <c r="M177" s="15">
        <f>IF(OR(A177="",B177=""),"",IF(AND(ISNUMBER(F177),H177&lt;&gt;"Компания"),D177+L177,0))</f>
        <v/>
      </c>
      <c r="N177" s="21">
        <f>SUMPRODUCT(MAX((Брони!$B$2:$B$500=B177)*((Брони!$F$2:$F$500="Выдана")+(Брони!$F$2:$F$500="Возвращена"))*(Брони!$D$2:$D$500&lt;=A177)*Брони!$D$2:$D$500))</f>
        <v/>
      </c>
      <c r="O177" s="19">
        <f>SUMPRODUCT((Брони!$B$2:$B$500=B177)*(Брони!$D$2:$D$500=N177)*((((Брони!$F$2:$F$500="Выдана")*NOW())+((Брони!$F$2:$F$500="Возвращена")*Брони!$E$2:$E$500))&gt;=A177)*Брони!$A$2:$A$500)</f>
        <v/>
      </c>
      <c r="P177" s="19">
        <f>SUMPRODUCT((Брони!$B$2:$B$500=B177)*(Брони!$D$2:$D$500=N177)*(((Брони!$F$2:$F$500="Выдана")+(Брони!$F$2:$F$500="Возвращена"))))</f>
        <v/>
      </c>
      <c r="Q177" s="10" t="n"/>
    </row>
    <row r="178">
      <c r="A178" s="11" t="n"/>
      <c r="B178" s="10" t="n"/>
      <c r="C178" s="10" t="n"/>
      <c r="D178" s="14" t="n"/>
      <c r="E178" s="10" t="n"/>
      <c r="F178" s="20">
        <f>IF(OR(A178="",B178=""),"",IF(OR(NOT(ISNUMBER(A178)),ISERROR(N178+O178+P178)),"Проверьте даты",IF(AND(N178&gt;0,P178&gt;1),"Дубль",IF(AND(N178&gt;0,O178&gt;0),O178,"Вне аренды"))))</f>
        <v/>
      </c>
      <c r="G178" s="12">
        <f>IF(ISNUMBER(F178),IFERROR(INDEX(Брони!$C$2:$C$500,MATCH(F178,Брони!$A$2:$A$500,0)),""),"")</f>
        <v/>
      </c>
      <c r="H178" s="10" t="n"/>
      <c r="I178" s="18" t="n"/>
      <c r="J178" s="12">
        <f>IF(AND(ISNUMBER(F178),I178&lt;&gt;""),IFERROR(IF(AND(INDEX(Брони!$F$2:$F$500,MATCH(F178,Брони!$A$2:$A$500,0))="Возвращена",I178&gt;INDEX(Брони!$E$2:$E$500,MATCH(F178,Брони!$A$2:$A$500,0))),"Да",""),""),"")</f>
        <v/>
      </c>
      <c r="K178" s="10" t="n"/>
      <c r="L178" s="14" t="n"/>
      <c r="M178" s="15">
        <f>IF(OR(A178="",B178=""),"",IF(AND(ISNUMBER(F178),H178&lt;&gt;"Компания"),D178+L178,0))</f>
        <v/>
      </c>
      <c r="N178" s="21">
        <f>SUMPRODUCT(MAX((Брони!$B$2:$B$500=B178)*((Брони!$F$2:$F$500="Выдана")+(Брони!$F$2:$F$500="Возвращена"))*(Брони!$D$2:$D$500&lt;=A178)*Брони!$D$2:$D$500))</f>
        <v/>
      </c>
      <c r="O178" s="19">
        <f>SUMPRODUCT((Брони!$B$2:$B$500=B178)*(Брони!$D$2:$D$500=N178)*((((Брони!$F$2:$F$500="Выдана")*NOW())+((Брони!$F$2:$F$500="Возвращена")*Брони!$E$2:$E$500))&gt;=A178)*Брони!$A$2:$A$500)</f>
        <v/>
      </c>
      <c r="P178" s="19">
        <f>SUMPRODUCT((Брони!$B$2:$B$500=B178)*(Брони!$D$2:$D$500=N178)*(((Брони!$F$2:$F$500="Выдана")+(Брони!$F$2:$F$500="Возвращена"))))</f>
        <v/>
      </c>
      <c r="Q178" s="10" t="n"/>
    </row>
    <row r="179">
      <c r="A179" s="11" t="n"/>
      <c r="B179" s="10" t="n"/>
      <c r="C179" s="10" t="n"/>
      <c r="D179" s="14" t="n"/>
      <c r="E179" s="10" t="n"/>
      <c r="F179" s="20">
        <f>IF(OR(A179="",B179=""),"",IF(OR(NOT(ISNUMBER(A179)),ISERROR(N179+O179+P179)),"Проверьте даты",IF(AND(N179&gt;0,P179&gt;1),"Дубль",IF(AND(N179&gt;0,O179&gt;0),O179,"Вне аренды"))))</f>
        <v/>
      </c>
      <c r="G179" s="12">
        <f>IF(ISNUMBER(F179),IFERROR(INDEX(Брони!$C$2:$C$500,MATCH(F179,Брони!$A$2:$A$500,0)),""),"")</f>
        <v/>
      </c>
      <c r="H179" s="10" t="n"/>
      <c r="I179" s="18" t="n"/>
      <c r="J179" s="12">
        <f>IF(AND(ISNUMBER(F179),I179&lt;&gt;""),IFERROR(IF(AND(INDEX(Брони!$F$2:$F$500,MATCH(F179,Брони!$A$2:$A$500,0))="Возвращена",I179&gt;INDEX(Брони!$E$2:$E$500,MATCH(F179,Брони!$A$2:$A$500,0))),"Да",""),""),"")</f>
        <v/>
      </c>
      <c r="K179" s="10" t="n"/>
      <c r="L179" s="14" t="n"/>
      <c r="M179" s="15">
        <f>IF(OR(A179="",B179=""),"",IF(AND(ISNUMBER(F179),H179&lt;&gt;"Компания"),D179+L179,0))</f>
        <v/>
      </c>
      <c r="N179" s="21">
        <f>SUMPRODUCT(MAX((Брони!$B$2:$B$500=B179)*((Брони!$F$2:$F$500="Выдана")+(Брони!$F$2:$F$500="Возвращена"))*(Брони!$D$2:$D$500&lt;=A179)*Брони!$D$2:$D$500))</f>
        <v/>
      </c>
      <c r="O179" s="19">
        <f>SUMPRODUCT((Брони!$B$2:$B$500=B179)*(Брони!$D$2:$D$500=N179)*((((Брони!$F$2:$F$500="Выдана")*NOW())+((Брони!$F$2:$F$500="Возвращена")*Брони!$E$2:$E$500))&gt;=A179)*Брони!$A$2:$A$500)</f>
        <v/>
      </c>
      <c r="P179" s="19">
        <f>SUMPRODUCT((Брони!$B$2:$B$500=B179)*(Брони!$D$2:$D$500=N179)*(((Брони!$F$2:$F$500="Выдана")+(Брони!$F$2:$F$500="Возвращена"))))</f>
        <v/>
      </c>
      <c r="Q179" s="10" t="n"/>
    </row>
    <row r="180">
      <c r="A180" s="11" t="n"/>
      <c r="B180" s="10" t="n"/>
      <c r="C180" s="10" t="n"/>
      <c r="D180" s="14" t="n"/>
      <c r="E180" s="10" t="n"/>
      <c r="F180" s="20">
        <f>IF(OR(A180="",B180=""),"",IF(OR(NOT(ISNUMBER(A180)),ISERROR(N180+O180+P180)),"Проверьте даты",IF(AND(N180&gt;0,P180&gt;1),"Дубль",IF(AND(N180&gt;0,O180&gt;0),O180,"Вне аренды"))))</f>
        <v/>
      </c>
      <c r="G180" s="12">
        <f>IF(ISNUMBER(F180),IFERROR(INDEX(Брони!$C$2:$C$500,MATCH(F180,Брони!$A$2:$A$500,0)),""),"")</f>
        <v/>
      </c>
      <c r="H180" s="10" t="n"/>
      <c r="I180" s="18" t="n"/>
      <c r="J180" s="12">
        <f>IF(AND(ISNUMBER(F180),I180&lt;&gt;""),IFERROR(IF(AND(INDEX(Брони!$F$2:$F$500,MATCH(F180,Брони!$A$2:$A$500,0))="Возвращена",I180&gt;INDEX(Брони!$E$2:$E$500,MATCH(F180,Брони!$A$2:$A$500,0))),"Да",""),""),"")</f>
        <v/>
      </c>
      <c r="K180" s="10" t="n"/>
      <c r="L180" s="14" t="n"/>
      <c r="M180" s="15">
        <f>IF(OR(A180="",B180=""),"",IF(AND(ISNUMBER(F180),H180&lt;&gt;"Компания"),D180+L180,0))</f>
        <v/>
      </c>
      <c r="N180" s="21">
        <f>SUMPRODUCT(MAX((Брони!$B$2:$B$500=B180)*((Брони!$F$2:$F$500="Выдана")+(Брони!$F$2:$F$500="Возвращена"))*(Брони!$D$2:$D$500&lt;=A180)*Брони!$D$2:$D$500))</f>
        <v/>
      </c>
      <c r="O180" s="19">
        <f>SUMPRODUCT((Брони!$B$2:$B$500=B180)*(Брони!$D$2:$D$500=N180)*((((Брони!$F$2:$F$500="Выдана")*NOW())+((Брони!$F$2:$F$500="Возвращена")*Брони!$E$2:$E$500))&gt;=A180)*Брони!$A$2:$A$500)</f>
        <v/>
      </c>
      <c r="P180" s="19">
        <f>SUMPRODUCT((Брони!$B$2:$B$500=B180)*(Брони!$D$2:$D$500=N180)*(((Брони!$F$2:$F$500="Выдана")+(Брони!$F$2:$F$500="Возвращена"))))</f>
        <v/>
      </c>
      <c r="Q180" s="10" t="n"/>
    </row>
    <row r="181">
      <c r="A181" s="11" t="n"/>
      <c r="B181" s="10" t="n"/>
      <c r="C181" s="10" t="n"/>
      <c r="D181" s="14" t="n"/>
      <c r="E181" s="10" t="n"/>
      <c r="F181" s="20">
        <f>IF(OR(A181="",B181=""),"",IF(OR(NOT(ISNUMBER(A181)),ISERROR(N181+O181+P181)),"Проверьте даты",IF(AND(N181&gt;0,P181&gt;1),"Дубль",IF(AND(N181&gt;0,O181&gt;0),O181,"Вне аренды"))))</f>
        <v/>
      </c>
      <c r="G181" s="12">
        <f>IF(ISNUMBER(F181),IFERROR(INDEX(Брони!$C$2:$C$500,MATCH(F181,Брони!$A$2:$A$500,0)),""),"")</f>
        <v/>
      </c>
      <c r="H181" s="10" t="n"/>
      <c r="I181" s="18" t="n"/>
      <c r="J181" s="12">
        <f>IF(AND(ISNUMBER(F181),I181&lt;&gt;""),IFERROR(IF(AND(INDEX(Брони!$F$2:$F$500,MATCH(F181,Брони!$A$2:$A$500,0))="Возвращена",I181&gt;INDEX(Брони!$E$2:$E$500,MATCH(F181,Брони!$A$2:$A$500,0))),"Да",""),""),"")</f>
        <v/>
      </c>
      <c r="K181" s="10" t="n"/>
      <c r="L181" s="14" t="n"/>
      <c r="M181" s="15">
        <f>IF(OR(A181="",B181=""),"",IF(AND(ISNUMBER(F181),H181&lt;&gt;"Компания"),D181+L181,0))</f>
        <v/>
      </c>
      <c r="N181" s="21">
        <f>SUMPRODUCT(MAX((Брони!$B$2:$B$500=B181)*((Брони!$F$2:$F$500="Выдана")+(Брони!$F$2:$F$500="Возвращена"))*(Брони!$D$2:$D$500&lt;=A181)*Брони!$D$2:$D$500))</f>
        <v/>
      </c>
      <c r="O181" s="19">
        <f>SUMPRODUCT((Брони!$B$2:$B$500=B181)*(Брони!$D$2:$D$500=N181)*((((Брони!$F$2:$F$500="Выдана")*NOW())+((Брони!$F$2:$F$500="Возвращена")*Брони!$E$2:$E$500))&gt;=A181)*Брони!$A$2:$A$500)</f>
        <v/>
      </c>
      <c r="P181" s="19">
        <f>SUMPRODUCT((Брони!$B$2:$B$500=B181)*(Брони!$D$2:$D$500=N181)*(((Брони!$F$2:$F$500="Выдана")+(Брони!$F$2:$F$500="Возвращена"))))</f>
        <v/>
      </c>
      <c r="Q181" s="10" t="n"/>
    </row>
    <row r="182">
      <c r="A182" s="11" t="n"/>
      <c r="B182" s="10" t="n"/>
      <c r="C182" s="10" t="n"/>
      <c r="D182" s="14" t="n"/>
      <c r="E182" s="10" t="n"/>
      <c r="F182" s="20">
        <f>IF(OR(A182="",B182=""),"",IF(OR(NOT(ISNUMBER(A182)),ISERROR(N182+O182+P182)),"Проверьте даты",IF(AND(N182&gt;0,P182&gt;1),"Дубль",IF(AND(N182&gt;0,O182&gt;0),O182,"Вне аренды"))))</f>
        <v/>
      </c>
      <c r="G182" s="12">
        <f>IF(ISNUMBER(F182),IFERROR(INDEX(Брони!$C$2:$C$500,MATCH(F182,Брони!$A$2:$A$500,0)),""),"")</f>
        <v/>
      </c>
      <c r="H182" s="10" t="n"/>
      <c r="I182" s="18" t="n"/>
      <c r="J182" s="12">
        <f>IF(AND(ISNUMBER(F182),I182&lt;&gt;""),IFERROR(IF(AND(INDEX(Брони!$F$2:$F$500,MATCH(F182,Брони!$A$2:$A$500,0))="Возвращена",I182&gt;INDEX(Брони!$E$2:$E$500,MATCH(F182,Брони!$A$2:$A$500,0))),"Да",""),""),"")</f>
        <v/>
      </c>
      <c r="K182" s="10" t="n"/>
      <c r="L182" s="14" t="n"/>
      <c r="M182" s="15">
        <f>IF(OR(A182="",B182=""),"",IF(AND(ISNUMBER(F182),H182&lt;&gt;"Компания"),D182+L182,0))</f>
        <v/>
      </c>
      <c r="N182" s="21">
        <f>SUMPRODUCT(MAX((Брони!$B$2:$B$500=B182)*((Брони!$F$2:$F$500="Выдана")+(Брони!$F$2:$F$500="Возвращена"))*(Брони!$D$2:$D$500&lt;=A182)*Брони!$D$2:$D$500))</f>
        <v/>
      </c>
      <c r="O182" s="19">
        <f>SUMPRODUCT((Брони!$B$2:$B$500=B182)*(Брони!$D$2:$D$500=N182)*((((Брони!$F$2:$F$500="Выдана")*NOW())+((Брони!$F$2:$F$500="Возвращена")*Брони!$E$2:$E$500))&gt;=A182)*Брони!$A$2:$A$500)</f>
        <v/>
      </c>
      <c r="P182" s="19">
        <f>SUMPRODUCT((Брони!$B$2:$B$500=B182)*(Брони!$D$2:$D$500=N182)*(((Брони!$F$2:$F$500="Выдана")+(Брони!$F$2:$F$500="Возвращена"))))</f>
        <v/>
      </c>
      <c r="Q182" s="10" t="n"/>
    </row>
    <row r="183">
      <c r="A183" s="11" t="n"/>
      <c r="B183" s="10" t="n"/>
      <c r="C183" s="10" t="n"/>
      <c r="D183" s="14" t="n"/>
      <c r="E183" s="10" t="n"/>
      <c r="F183" s="20">
        <f>IF(OR(A183="",B183=""),"",IF(OR(NOT(ISNUMBER(A183)),ISERROR(N183+O183+P183)),"Проверьте даты",IF(AND(N183&gt;0,P183&gt;1),"Дубль",IF(AND(N183&gt;0,O183&gt;0),O183,"Вне аренды"))))</f>
        <v/>
      </c>
      <c r="G183" s="12">
        <f>IF(ISNUMBER(F183),IFERROR(INDEX(Брони!$C$2:$C$500,MATCH(F183,Брони!$A$2:$A$500,0)),""),"")</f>
        <v/>
      </c>
      <c r="H183" s="10" t="n"/>
      <c r="I183" s="18" t="n"/>
      <c r="J183" s="12">
        <f>IF(AND(ISNUMBER(F183),I183&lt;&gt;""),IFERROR(IF(AND(INDEX(Брони!$F$2:$F$500,MATCH(F183,Брони!$A$2:$A$500,0))="Возвращена",I183&gt;INDEX(Брони!$E$2:$E$500,MATCH(F183,Брони!$A$2:$A$500,0))),"Да",""),""),"")</f>
        <v/>
      </c>
      <c r="K183" s="10" t="n"/>
      <c r="L183" s="14" t="n"/>
      <c r="M183" s="15">
        <f>IF(OR(A183="",B183=""),"",IF(AND(ISNUMBER(F183),H183&lt;&gt;"Компания"),D183+L183,0))</f>
        <v/>
      </c>
      <c r="N183" s="21">
        <f>SUMPRODUCT(MAX((Брони!$B$2:$B$500=B183)*((Брони!$F$2:$F$500="Выдана")+(Брони!$F$2:$F$500="Возвращена"))*(Брони!$D$2:$D$500&lt;=A183)*Брони!$D$2:$D$500))</f>
        <v/>
      </c>
      <c r="O183" s="19">
        <f>SUMPRODUCT((Брони!$B$2:$B$500=B183)*(Брони!$D$2:$D$500=N183)*((((Брони!$F$2:$F$500="Выдана")*NOW())+((Брони!$F$2:$F$500="Возвращена")*Брони!$E$2:$E$500))&gt;=A183)*Брони!$A$2:$A$500)</f>
        <v/>
      </c>
      <c r="P183" s="19">
        <f>SUMPRODUCT((Брони!$B$2:$B$500=B183)*(Брони!$D$2:$D$500=N183)*(((Брони!$F$2:$F$500="Выдана")+(Брони!$F$2:$F$500="Возвращена"))))</f>
        <v/>
      </c>
      <c r="Q183" s="10" t="n"/>
    </row>
    <row r="184">
      <c r="A184" s="11" t="n"/>
      <c r="B184" s="10" t="n"/>
      <c r="C184" s="10" t="n"/>
      <c r="D184" s="14" t="n"/>
      <c r="E184" s="10" t="n"/>
      <c r="F184" s="20">
        <f>IF(OR(A184="",B184=""),"",IF(OR(NOT(ISNUMBER(A184)),ISERROR(N184+O184+P184)),"Проверьте даты",IF(AND(N184&gt;0,P184&gt;1),"Дубль",IF(AND(N184&gt;0,O184&gt;0),O184,"Вне аренды"))))</f>
        <v/>
      </c>
      <c r="G184" s="12">
        <f>IF(ISNUMBER(F184),IFERROR(INDEX(Брони!$C$2:$C$500,MATCH(F184,Брони!$A$2:$A$500,0)),""),"")</f>
        <v/>
      </c>
      <c r="H184" s="10" t="n"/>
      <c r="I184" s="18" t="n"/>
      <c r="J184" s="12">
        <f>IF(AND(ISNUMBER(F184),I184&lt;&gt;""),IFERROR(IF(AND(INDEX(Брони!$F$2:$F$500,MATCH(F184,Брони!$A$2:$A$500,0))="Возвращена",I184&gt;INDEX(Брони!$E$2:$E$500,MATCH(F184,Брони!$A$2:$A$500,0))),"Да",""),""),"")</f>
        <v/>
      </c>
      <c r="K184" s="10" t="n"/>
      <c r="L184" s="14" t="n"/>
      <c r="M184" s="15">
        <f>IF(OR(A184="",B184=""),"",IF(AND(ISNUMBER(F184),H184&lt;&gt;"Компания"),D184+L184,0))</f>
        <v/>
      </c>
      <c r="N184" s="21">
        <f>SUMPRODUCT(MAX((Брони!$B$2:$B$500=B184)*((Брони!$F$2:$F$500="Выдана")+(Брони!$F$2:$F$500="Возвращена"))*(Брони!$D$2:$D$500&lt;=A184)*Брони!$D$2:$D$500))</f>
        <v/>
      </c>
      <c r="O184" s="19">
        <f>SUMPRODUCT((Брони!$B$2:$B$500=B184)*(Брони!$D$2:$D$500=N184)*((((Брони!$F$2:$F$500="Выдана")*NOW())+((Брони!$F$2:$F$500="Возвращена")*Брони!$E$2:$E$500))&gt;=A184)*Брони!$A$2:$A$500)</f>
        <v/>
      </c>
      <c r="P184" s="19">
        <f>SUMPRODUCT((Брони!$B$2:$B$500=B184)*(Брони!$D$2:$D$500=N184)*(((Брони!$F$2:$F$500="Выдана")+(Брони!$F$2:$F$500="Возвращена"))))</f>
        <v/>
      </c>
      <c r="Q184" s="10" t="n"/>
    </row>
    <row r="185">
      <c r="A185" s="11" t="n"/>
      <c r="B185" s="10" t="n"/>
      <c r="C185" s="10" t="n"/>
      <c r="D185" s="14" t="n"/>
      <c r="E185" s="10" t="n"/>
      <c r="F185" s="20">
        <f>IF(OR(A185="",B185=""),"",IF(OR(NOT(ISNUMBER(A185)),ISERROR(N185+O185+P185)),"Проверьте даты",IF(AND(N185&gt;0,P185&gt;1),"Дубль",IF(AND(N185&gt;0,O185&gt;0),O185,"Вне аренды"))))</f>
        <v/>
      </c>
      <c r="G185" s="12">
        <f>IF(ISNUMBER(F185),IFERROR(INDEX(Брони!$C$2:$C$500,MATCH(F185,Брони!$A$2:$A$500,0)),""),"")</f>
        <v/>
      </c>
      <c r="H185" s="10" t="n"/>
      <c r="I185" s="18" t="n"/>
      <c r="J185" s="12">
        <f>IF(AND(ISNUMBER(F185),I185&lt;&gt;""),IFERROR(IF(AND(INDEX(Брони!$F$2:$F$500,MATCH(F185,Брони!$A$2:$A$500,0))="Возвращена",I185&gt;INDEX(Брони!$E$2:$E$500,MATCH(F185,Брони!$A$2:$A$500,0))),"Да",""),""),"")</f>
        <v/>
      </c>
      <c r="K185" s="10" t="n"/>
      <c r="L185" s="14" t="n"/>
      <c r="M185" s="15">
        <f>IF(OR(A185="",B185=""),"",IF(AND(ISNUMBER(F185),H185&lt;&gt;"Компания"),D185+L185,0))</f>
        <v/>
      </c>
      <c r="N185" s="21">
        <f>SUMPRODUCT(MAX((Брони!$B$2:$B$500=B185)*((Брони!$F$2:$F$500="Выдана")+(Брони!$F$2:$F$500="Возвращена"))*(Брони!$D$2:$D$500&lt;=A185)*Брони!$D$2:$D$500))</f>
        <v/>
      </c>
      <c r="O185" s="19">
        <f>SUMPRODUCT((Брони!$B$2:$B$500=B185)*(Брони!$D$2:$D$500=N185)*((((Брони!$F$2:$F$500="Выдана")*NOW())+((Брони!$F$2:$F$500="Возвращена")*Брони!$E$2:$E$500))&gt;=A185)*Брони!$A$2:$A$500)</f>
        <v/>
      </c>
      <c r="P185" s="19">
        <f>SUMPRODUCT((Брони!$B$2:$B$500=B185)*(Брони!$D$2:$D$500=N185)*(((Брони!$F$2:$F$500="Выдана")+(Брони!$F$2:$F$500="Возвращена"))))</f>
        <v/>
      </c>
      <c r="Q185" s="10" t="n"/>
    </row>
    <row r="186">
      <c r="A186" s="11" t="n"/>
      <c r="B186" s="10" t="n"/>
      <c r="C186" s="10" t="n"/>
      <c r="D186" s="14" t="n"/>
      <c r="E186" s="10" t="n"/>
      <c r="F186" s="20">
        <f>IF(OR(A186="",B186=""),"",IF(OR(NOT(ISNUMBER(A186)),ISERROR(N186+O186+P186)),"Проверьте даты",IF(AND(N186&gt;0,P186&gt;1),"Дубль",IF(AND(N186&gt;0,O186&gt;0),O186,"Вне аренды"))))</f>
        <v/>
      </c>
      <c r="G186" s="12">
        <f>IF(ISNUMBER(F186),IFERROR(INDEX(Брони!$C$2:$C$500,MATCH(F186,Брони!$A$2:$A$500,0)),""),"")</f>
        <v/>
      </c>
      <c r="H186" s="10" t="n"/>
      <c r="I186" s="18" t="n"/>
      <c r="J186" s="12">
        <f>IF(AND(ISNUMBER(F186),I186&lt;&gt;""),IFERROR(IF(AND(INDEX(Брони!$F$2:$F$500,MATCH(F186,Брони!$A$2:$A$500,0))="Возвращена",I186&gt;INDEX(Брони!$E$2:$E$500,MATCH(F186,Брони!$A$2:$A$500,0))),"Да",""),""),"")</f>
        <v/>
      </c>
      <c r="K186" s="10" t="n"/>
      <c r="L186" s="14" t="n"/>
      <c r="M186" s="15">
        <f>IF(OR(A186="",B186=""),"",IF(AND(ISNUMBER(F186),H186&lt;&gt;"Компания"),D186+L186,0))</f>
        <v/>
      </c>
      <c r="N186" s="21">
        <f>SUMPRODUCT(MAX((Брони!$B$2:$B$500=B186)*((Брони!$F$2:$F$500="Выдана")+(Брони!$F$2:$F$500="Возвращена"))*(Брони!$D$2:$D$500&lt;=A186)*Брони!$D$2:$D$500))</f>
        <v/>
      </c>
      <c r="O186" s="19">
        <f>SUMPRODUCT((Брони!$B$2:$B$500=B186)*(Брони!$D$2:$D$500=N186)*((((Брони!$F$2:$F$500="Выдана")*NOW())+((Брони!$F$2:$F$500="Возвращена")*Брони!$E$2:$E$500))&gt;=A186)*Брони!$A$2:$A$500)</f>
        <v/>
      </c>
      <c r="P186" s="19">
        <f>SUMPRODUCT((Брони!$B$2:$B$500=B186)*(Брони!$D$2:$D$500=N186)*(((Брони!$F$2:$F$500="Выдана")+(Брони!$F$2:$F$500="Возвращена"))))</f>
        <v/>
      </c>
      <c r="Q186" s="10" t="n"/>
    </row>
    <row r="187">
      <c r="A187" s="11" t="n"/>
      <c r="B187" s="10" t="n"/>
      <c r="C187" s="10" t="n"/>
      <c r="D187" s="14" t="n"/>
      <c r="E187" s="10" t="n"/>
      <c r="F187" s="20">
        <f>IF(OR(A187="",B187=""),"",IF(OR(NOT(ISNUMBER(A187)),ISERROR(N187+O187+P187)),"Проверьте даты",IF(AND(N187&gt;0,P187&gt;1),"Дубль",IF(AND(N187&gt;0,O187&gt;0),O187,"Вне аренды"))))</f>
        <v/>
      </c>
      <c r="G187" s="12">
        <f>IF(ISNUMBER(F187),IFERROR(INDEX(Брони!$C$2:$C$500,MATCH(F187,Брони!$A$2:$A$500,0)),""),"")</f>
        <v/>
      </c>
      <c r="H187" s="10" t="n"/>
      <c r="I187" s="18" t="n"/>
      <c r="J187" s="12">
        <f>IF(AND(ISNUMBER(F187),I187&lt;&gt;""),IFERROR(IF(AND(INDEX(Брони!$F$2:$F$500,MATCH(F187,Брони!$A$2:$A$500,0))="Возвращена",I187&gt;INDEX(Брони!$E$2:$E$500,MATCH(F187,Брони!$A$2:$A$500,0))),"Да",""),""),"")</f>
        <v/>
      </c>
      <c r="K187" s="10" t="n"/>
      <c r="L187" s="14" t="n"/>
      <c r="M187" s="15">
        <f>IF(OR(A187="",B187=""),"",IF(AND(ISNUMBER(F187),H187&lt;&gt;"Компания"),D187+L187,0))</f>
        <v/>
      </c>
      <c r="N187" s="21">
        <f>SUMPRODUCT(MAX((Брони!$B$2:$B$500=B187)*((Брони!$F$2:$F$500="Выдана")+(Брони!$F$2:$F$500="Возвращена"))*(Брони!$D$2:$D$500&lt;=A187)*Брони!$D$2:$D$500))</f>
        <v/>
      </c>
      <c r="O187" s="19">
        <f>SUMPRODUCT((Брони!$B$2:$B$500=B187)*(Брони!$D$2:$D$500=N187)*((((Брони!$F$2:$F$500="Выдана")*NOW())+((Брони!$F$2:$F$500="Возвращена")*Брони!$E$2:$E$500))&gt;=A187)*Брони!$A$2:$A$500)</f>
        <v/>
      </c>
      <c r="P187" s="19">
        <f>SUMPRODUCT((Брони!$B$2:$B$500=B187)*(Брони!$D$2:$D$500=N187)*(((Брони!$F$2:$F$500="Выдана")+(Брони!$F$2:$F$500="Возвращена"))))</f>
        <v/>
      </c>
      <c r="Q187" s="10" t="n"/>
    </row>
    <row r="188">
      <c r="A188" s="11" t="n"/>
      <c r="B188" s="10" t="n"/>
      <c r="C188" s="10" t="n"/>
      <c r="D188" s="14" t="n"/>
      <c r="E188" s="10" t="n"/>
      <c r="F188" s="20">
        <f>IF(OR(A188="",B188=""),"",IF(OR(NOT(ISNUMBER(A188)),ISERROR(N188+O188+P188)),"Проверьте даты",IF(AND(N188&gt;0,P188&gt;1),"Дубль",IF(AND(N188&gt;0,O188&gt;0),O188,"Вне аренды"))))</f>
        <v/>
      </c>
      <c r="G188" s="12">
        <f>IF(ISNUMBER(F188),IFERROR(INDEX(Брони!$C$2:$C$500,MATCH(F188,Брони!$A$2:$A$500,0)),""),"")</f>
        <v/>
      </c>
      <c r="H188" s="10" t="n"/>
      <c r="I188" s="18" t="n"/>
      <c r="J188" s="12">
        <f>IF(AND(ISNUMBER(F188),I188&lt;&gt;""),IFERROR(IF(AND(INDEX(Брони!$F$2:$F$500,MATCH(F188,Брони!$A$2:$A$500,0))="Возвращена",I188&gt;INDEX(Брони!$E$2:$E$500,MATCH(F188,Брони!$A$2:$A$500,0))),"Да",""),""),"")</f>
        <v/>
      </c>
      <c r="K188" s="10" t="n"/>
      <c r="L188" s="14" t="n"/>
      <c r="M188" s="15">
        <f>IF(OR(A188="",B188=""),"",IF(AND(ISNUMBER(F188),H188&lt;&gt;"Компания"),D188+L188,0))</f>
        <v/>
      </c>
      <c r="N188" s="21">
        <f>SUMPRODUCT(MAX((Брони!$B$2:$B$500=B188)*((Брони!$F$2:$F$500="Выдана")+(Брони!$F$2:$F$500="Возвращена"))*(Брони!$D$2:$D$500&lt;=A188)*Брони!$D$2:$D$500))</f>
        <v/>
      </c>
      <c r="O188" s="19">
        <f>SUMPRODUCT((Брони!$B$2:$B$500=B188)*(Брони!$D$2:$D$500=N188)*((((Брони!$F$2:$F$500="Выдана")*NOW())+((Брони!$F$2:$F$500="Возвращена")*Брони!$E$2:$E$500))&gt;=A188)*Брони!$A$2:$A$500)</f>
        <v/>
      </c>
      <c r="P188" s="19">
        <f>SUMPRODUCT((Брони!$B$2:$B$500=B188)*(Брони!$D$2:$D$500=N188)*(((Брони!$F$2:$F$500="Выдана")+(Брони!$F$2:$F$500="Возвращена"))))</f>
        <v/>
      </c>
      <c r="Q188" s="10" t="n"/>
    </row>
    <row r="189">
      <c r="A189" s="11" t="n"/>
      <c r="B189" s="10" t="n"/>
      <c r="C189" s="10" t="n"/>
      <c r="D189" s="14" t="n"/>
      <c r="E189" s="10" t="n"/>
      <c r="F189" s="20">
        <f>IF(OR(A189="",B189=""),"",IF(OR(NOT(ISNUMBER(A189)),ISERROR(N189+O189+P189)),"Проверьте даты",IF(AND(N189&gt;0,P189&gt;1),"Дубль",IF(AND(N189&gt;0,O189&gt;0),O189,"Вне аренды"))))</f>
        <v/>
      </c>
      <c r="G189" s="12">
        <f>IF(ISNUMBER(F189),IFERROR(INDEX(Брони!$C$2:$C$500,MATCH(F189,Брони!$A$2:$A$500,0)),""),"")</f>
        <v/>
      </c>
      <c r="H189" s="10" t="n"/>
      <c r="I189" s="18" t="n"/>
      <c r="J189" s="12">
        <f>IF(AND(ISNUMBER(F189),I189&lt;&gt;""),IFERROR(IF(AND(INDEX(Брони!$F$2:$F$500,MATCH(F189,Брони!$A$2:$A$500,0))="Возвращена",I189&gt;INDEX(Брони!$E$2:$E$500,MATCH(F189,Брони!$A$2:$A$500,0))),"Да",""),""),"")</f>
        <v/>
      </c>
      <c r="K189" s="10" t="n"/>
      <c r="L189" s="14" t="n"/>
      <c r="M189" s="15">
        <f>IF(OR(A189="",B189=""),"",IF(AND(ISNUMBER(F189),H189&lt;&gt;"Компания"),D189+L189,0))</f>
        <v/>
      </c>
      <c r="N189" s="21">
        <f>SUMPRODUCT(MAX((Брони!$B$2:$B$500=B189)*((Брони!$F$2:$F$500="Выдана")+(Брони!$F$2:$F$500="Возвращена"))*(Брони!$D$2:$D$500&lt;=A189)*Брони!$D$2:$D$500))</f>
        <v/>
      </c>
      <c r="O189" s="19">
        <f>SUMPRODUCT((Брони!$B$2:$B$500=B189)*(Брони!$D$2:$D$500=N189)*((((Брони!$F$2:$F$500="Выдана")*NOW())+((Брони!$F$2:$F$500="Возвращена")*Брони!$E$2:$E$500))&gt;=A189)*Брони!$A$2:$A$500)</f>
        <v/>
      </c>
      <c r="P189" s="19">
        <f>SUMPRODUCT((Брони!$B$2:$B$500=B189)*(Брони!$D$2:$D$500=N189)*(((Брони!$F$2:$F$500="Выдана")+(Брони!$F$2:$F$500="Возвращена"))))</f>
        <v/>
      </c>
      <c r="Q189" s="10" t="n"/>
    </row>
    <row r="190">
      <c r="A190" s="11" t="n"/>
      <c r="B190" s="10" t="n"/>
      <c r="C190" s="10" t="n"/>
      <c r="D190" s="14" t="n"/>
      <c r="E190" s="10" t="n"/>
      <c r="F190" s="20">
        <f>IF(OR(A190="",B190=""),"",IF(OR(NOT(ISNUMBER(A190)),ISERROR(N190+O190+P190)),"Проверьте даты",IF(AND(N190&gt;0,P190&gt;1),"Дубль",IF(AND(N190&gt;0,O190&gt;0),O190,"Вне аренды"))))</f>
        <v/>
      </c>
      <c r="G190" s="12">
        <f>IF(ISNUMBER(F190),IFERROR(INDEX(Брони!$C$2:$C$500,MATCH(F190,Брони!$A$2:$A$500,0)),""),"")</f>
        <v/>
      </c>
      <c r="H190" s="10" t="n"/>
      <c r="I190" s="18" t="n"/>
      <c r="J190" s="12">
        <f>IF(AND(ISNUMBER(F190),I190&lt;&gt;""),IFERROR(IF(AND(INDEX(Брони!$F$2:$F$500,MATCH(F190,Брони!$A$2:$A$500,0))="Возвращена",I190&gt;INDEX(Брони!$E$2:$E$500,MATCH(F190,Брони!$A$2:$A$500,0))),"Да",""),""),"")</f>
        <v/>
      </c>
      <c r="K190" s="10" t="n"/>
      <c r="L190" s="14" t="n"/>
      <c r="M190" s="15">
        <f>IF(OR(A190="",B190=""),"",IF(AND(ISNUMBER(F190),H190&lt;&gt;"Компания"),D190+L190,0))</f>
        <v/>
      </c>
      <c r="N190" s="21">
        <f>SUMPRODUCT(MAX((Брони!$B$2:$B$500=B190)*((Брони!$F$2:$F$500="Выдана")+(Брони!$F$2:$F$500="Возвращена"))*(Брони!$D$2:$D$500&lt;=A190)*Брони!$D$2:$D$500))</f>
        <v/>
      </c>
      <c r="O190" s="19">
        <f>SUMPRODUCT((Брони!$B$2:$B$500=B190)*(Брони!$D$2:$D$500=N190)*((((Брони!$F$2:$F$500="Выдана")*NOW())+((Брони!$F$2:$F$500="Возвращена")*Брони!$E$2:$E$500))&gt;=A190)*Брони!$A$2:$A$500)</f>
        <v/>
      </c>
      <c r="P190" s="19">
        <f>SUMPRODUCT((Брони!$B$2:$B$500=B190)*(Брони!$D$2:$D$500=N190)*(((Брони!$F$2:$F$500="Выдана")+(Брони!$F$2:$F$500="Возвращена"))))</f>
        <v/>
      </c>
      <c r="Q190" s="10" t="n"/>
    </row>
    <row r="191">
      <c r="A191" s="11" t="n"/>
      <c r="B191" s="10" t="n"/>
      <c r="C191" s="10" t="n"/>
      <c r="D191" s="14" t="n"/>
      <c r="E191" s="10" t="n"/>
      <c r="F191" s="20">
        <f>IF(OR(A191="",B191=""),"",IF(OR(NOT(ISNUMBER(A191)),ISERROR(N191+O191+P191)),"Проверьте даты",IF(AND(N191&gt;0,P191&gt;1),"Дубль",IF(AND(N191&gt;0,O191&gt;0),O191,"Вне аренды"))))</f>
        <v/>
      </c>
      <c r="G191" s="12">
        <f>IF(ISNUMBER(F191),IFERROR(INDEX(Брони!$C$2:$C$500,MATCH(F191,Брони!$A$2:$A$500,0)),""),"")</f>
        <v/>
      </c>
      <c r="H191" s="10" t="n"/>
      <c r="I191" s="18" t="n"/>
      <c r="J191" s="12">
        <f>IF(AND(ISNUMBER(F191),I191&lt;&gt;""),IFERROR(IF(AND(INDEX(Брони!$F$2:$F$500,MATCH(F191,Брони!$A$2:$A$500,0))="Возвращена",I191&gt;INDEX(Брони!$E$2:$E$500,MATCH(F191,Брони!$A$2:$A$500,0))),"Да",""),""),"")</f>
        <v/>
      </c>
      <c r="K191" s="10" t="n"/>
      <c r="L191" s="14" t="n"/>
      <c r="M191" s="15">
        <f>IF(OR(A191="",B191=""),"",IF(AND(ISNUMBER(F191),H191&lt;&gt;"Компания"),D191+L191,0))</f>
        <v/>
      </c>
      <c r="N191" s="21">
        <f>SUMPRODUCT(MAX((Брони!$B$2:$B$500=B191)*((Брони!$F$2:$F$500="Выдана")+(Брони!$F$2:$F$500="Возвращена"))*(Брони!$D$2:$D$500&lt;=A191)*Брони!$D$2:$D$500))</f>
        <v/>
      </c>
      <c r="O191" s="19">
        <f>SUMPRODUCT((Брони!$B$2:$B$500=B191)*(Брони!$D$2:$D$500=N191)*((((Брони!$F$2:$F$500="Выдана")*NOW())+((Брони!$F$2:$F$500="Возвращена")*Брони!$E$2:$E$500))&gt;=A191)*Брони!$A$2:$A$500)</f>
        <v/>
      </c>
      <c r="P191" s="19">
        <f>SUMPRODUCT((Брони!$B$2:$B$500=B191)*(Брони!$D$2:$D$500=N191)*(((Брони!$F$2:$F$500="Выдана")+(Брони!$F$2:$F$500="Возвращена"))))</f>
        <v/>
      </c>
      <c r="Q191" s="10" t="n"/>
    </row>
    <row r="192">
      <c r="A192" s="11" t="n"/>
      <c r="B192" s="10" t="n"/>
      <c r="C192" s="10" t="n"/>
      <c r="D192" s="14" t="n"/>
      <c r="E192" s="10" t="n"/>
      <c r="F192" s="20">
        <f>IF(OR(A192="",B192=""),"",IF(OR(NOT(ISNUMBER(A192)),ISERROR(N192+O192+P192)),"Проверьте даты",IF(AND(N192&gt;0,P192&gt;1),"Дубль",IF(AND(N192&gt;0,O192&gt;0),O192,"Вне аренды"))))</f>
        <v/>
      </c>
      <c r="G192" s="12">
        <f>IF(ISNUMBER(F192),IFERROR(INDEX(Брони!$C$2:$C$500,MATCH(F192,Брони!$A$2:$A$500,0)),""),"")</f>
        <v/>
      </c>
      <c r="H192" s="10" t="n"/>
      <c r="I192" s="18" t="n"/>
      <c r="J192" s="12">
        <f>IF(AND(ISNUMBER(F192),I192&lt;&gt;""),IFERROR(IF(AND(INDEX(Брони!$F$2:$F$500,MATCH(F192,Брони!$A$2:$A$500,0))="Возвращена",I192&gt;INDEX(Брони!$E$2:$E$500,MATCH(F192,Брони!$A$2:$A$500,0))),"Да",""),""),"")</f>
        <v/>
      </c>
      <c r="K192" s="10" t="n"/>
      <c r="L192" s="14" t="n"/>
      <c r="M192" s="15">
        <f>IF(OR(A192="",B192=""),"",IF(AND(ISNUMBER(F192),H192&lt;&gt;"Компания"),D192+L192,0))</f>
        <v/>
      </c>
      <c r="N192" s="21">
        <f>SUMPRODUCT(MAX((Брони!$B$2:$B$500=B192)*((Брони!$F$2:$F$500="Выдана")+(Брони!$F$2:$F$500="Возвращена"))*(Брони!$D$2:$D$500&lt;=A192)*Брони!$D$2:$D$500))</f>
        <v/>
      </c>
      <c r="O192" s="19">
        <f>SUMPRODUCT((Брони!$B$2:$B$500=B192)*(Брони!$D$2:$D$500=N192)*((((Брони!$F$2:$F$500="Выдана")*NOW())+((Брони!$F$2:$F$500="Возвращена")*Брони!$E$2:$E$500))&gt;=A192)*Брони!$A$2:$A$500)</f>
        <v/>
      </c>
      <c r="P192" s="19">
        <f>SUMPRODUCT((Брони!$B$2:$B$500=B192)*(Брони!$D$2:$D$500=N192)*(((Брони!$F$2:$F$500="Выдана")+(Брони!$F$2:$F$500="Возвращена"))))</f>
        <v/>
      </c>
      <c r="Q192" s="10" t="n"/>
    </row>
    <row r="193">
      <c r="A193" s="11" t="n"/>
      <c r="B193" s="10" t="n"/>
      <c r="C193" s="10" t="n"/>
      <c r="D193" s="14" t="n"/>
      <c r="E193" s="10" t="n"/>
      <c r="F193" s="20">
        <f>IF(OR(A193="",B193=""),"",IF(OR(NOT(ISNUMBER(A193)),ISERROR(N193+O193+P193)),"Проверьте даты",IF(AND(N193&gt;0,P193&gt;1),"Дубль",IF(AND(N193&gt;0,O193&gt;0),O193,"Вне аренды"))))</f>
        <v/>
      </c>
      <c r="G193" s="12">
        <f>IF(ISNUMBER(F193),IFERROR(INDEX(Брони!$C$2:$C$500,MATCH(F193,Брони!$A$2:$A$500,0)),""),"")</f>
        <v/>
      </c>
      <c r="H193" s="10" t="n"/>
      <c r="I193" s="18" t="n"/>
      <c r="J193" s="12">
        <f>IF(AND(ISNUMBER(F193),I193&lt;&gt;""),IFERROR(IF(AND(INDEX(Брони!$F$2:$F$500,MATCH(F193,Брони!$A$2:$A$500,0))="Возвращена",I193&gt;INDEX(Брони!$E$2:$E$500,MATCH(F193,Брони!$A$2:$A$500,0))),"Да",""),""),"")</f>
        <v/>
      </c>
      <c r="K193" s="10" t="n"/>
      <c r="L193" s="14" t="n"/>
      <c r="M193" s="15">
        <f>IF(OR(A193="",B193=""),"",IF(AND(ISNUMBER(F193),H193&lt;&gt;"Компания"),D193+L193,0))</f>
        <v/>
      </c>
      <c r="N193" s="21">
        <f>SUMPRODUCT(MAX((Брони!$B$2:$B$500=B193)*((Брони!$F$2:$F$500="Выдана")+(Брони!$F$2:$F$500="Возвращена"))*(Брони!$D$2:$D$500&lt;=A193)*Брони!$D$2:$D$500))</f>
        <v/>
      </c>
      <c r="O193" s="19">
        <f>SUMPRODUCT((Брони!$B$2:$B$500=B193)*(Брони!$D$2:$D$500=N193)*((((Брони!$F$2:$F$500="Выдана")*NOW())+((Брони!$F$2:$F$500="Возвращена")*Брони!$E$2:$E$500))&gt;=A193)*Брони!$A$2:$A$500)</f>
        <v/>
      </c>
      <c r="P193" s="19">
        <f>SUMPRODUCT((Брони!$B$2:$B$500=B193)*(Брони!$D$2:$D$500=N193)*(((Брони!$F$2:$F$500="Выдана")+(Брони!$F$2:$F$500="Возвращена"))))</f>
        <v/>
      </c>
      <c r="Q193" s="10" t="n"/>
    </row>
    <row r="194">
      <c r="A194" s="11" t="n"/>
      <c r="B194" s="10" t="n"/>
      <c r="C194" s="10" t="n"/>
      <c r="D194" s="14" t="n"/>
      <c r="E194" s="10" t="n"/>
      <c r="F194" s="20">
        <f>IF(OR(A194="",B194=""),"",IF(OR(NOT(ISNUMBER(A194)),ISERROR(N194+O194+P194)),"Проверьте даты",IF(AND(N194&gt;0,P194&gt;1),"Дубль",IF(AND(N194&gt;0,O194&gt;0),O194,"Вне аренды"))))</f>
        <v/>
      </c>
      <c r="G194" s="12">
        <f>IF(ISNUMBER(F194),IFERROR(INDEX(Брони!$C$2:$C$500,MATCH(F194,Брони!$A$2:$A$500,0)),""),"")</f>
        <v/>
      </c>
      <c r="H194" s="10" t="n"/>
      <c r="I194" s="18" t="n"/>
      <c r="J194" s="12">
        <f>IF(AND(ISNUMBER(F194),I194&lt;&gt;""),IFERROR(IF(AND(INDEX(Брони!$F$2:$F$500,MATCH(F194,Брони!$A$2:$A$500,0))="Возвращена",I194&gt;INDEX(Брони!$E$2:$E$500,MATCH(F194,Брони!$A$2:$A$500,0))),"Да",""),""),"")</f>
        <v/>
      </c>
      <c r="K194" s="10" t="n"/>
      <c r="L194" s="14" t="n"/>
      <c r="M194" s="15">
        <f>IF(OR(A194="",B194=""),"",IF(AND(ISNUMBER(F194),H194&lt;&gt;"Компания"),D194+L194,0))</f>
        <v/>
      </c>
      <c r="N194" s="21">
        <f>SUMPRODUCT(MAX((Брони!$B$2:$B$500=B194)*((Брони!$F$2:$F$500="Выдана")+(Брони!$F$2:$F$500="Возвращена"))*(Брони!$D$2:$D$500&lt;=A194)*Брони!$D$2:$D$500))</f>
        <v/>
      </c>
      <c r="O194" s="19">
        <f>SUMPRODUCT((Брони!$B$2:$B$500=B194)*(Брони!$D$2:$D$500=N194)*((((Брони!$F$2:$F$500="Выдана")*NOW())+((Брони!$F$2:$F$500="Возвращена")*Брони!$E$2:$E$500))&gt;=A194)*Брони!$A$2:$A$500)</f>
        <v/>
      </c>
      <c r="P194" s="19">
        <f>SUMPRODUCT((Брони!$B$2:$B$500=B194)*(Брони!$D$2:$D$500=N194)*(((Брони!$F$2:$F$500="Выдана")+(Брони!$F$2:$F$500="Возвращена"))))</f>
        <v/>
      </c>
      <c r="Q194" s="10" t="n"/>
    </row>
    <row r="195">
      <c r="A195" s="11" t="n"/>
      <c r="B195" s="10" t="n"/>
      <c r="C195" s="10" t="n"/>
      <c r="D195" s="14" t="n"/>
      <c r="E195" s="10" t="n"/>
      <c r="F195" s="20">
        <f>IF(OR(A195="",B195=""),"",IF(OR(NOT(ISNUMBER(A195)),ISERROR(N195+O195+P195)),"Проверьте даты",IF(AND(N195&gt;0,P195&gt;1),"Дубль",IF(AND(N195&gt;0,O195&gt;0),O195,"Вне аренды"))))</f>
        <v/>
      </c>
      <c r="G195" s="12">
        <f>IF(ISNUMBER(F195),IFERROR(INDEX(Брони!$C$2:$C$500,MATCH(F195,Брони!$A$2:$A$500,0)),""),"")</f>
        <v/>
      </c>
      <c r="H195" s="10" t="n"/>
      <c r="I195" s="18" t="n"/>
      <c r="J195" s="12">
        <f>IF(AND(ISNUMBER(F195),I195&lt;&gt;""),IFERROR(IF(AND(INDEX(Брони!$F$2:$F$500,MATCH(F195,Брони!$A$2:$A$500,0))="Возвращена",I195&gt;INDEX(Брони!$E$2:$E$500,MATCH(F195,Брони!$A$2:$A$500,0))),"Да",""),""),"")</f>
        <v/>
      </c>
      <c r="K195" s="10" t="n"/>
      <c r="L195" s="14" t="n"/>
      <c r="M195" s="15">
        <f>IF(OR(A195="",B195=""),"",IF(AND(ISNUMBER(F195),H195&lt;&gt;"Компания"),D195+L195,0))</f>
        <v/>
      </c>
      <c r="N195" s="21">
        <f>SUMPRODUCT(MAX((Брони!$B$2:$B$500=B195)*((Брони!$F$2:$F$500="Выдана")+(Брони!$F$2:$F$500="Возвращена"))*(Брони!$D$2:$D$500&lt;=A195)*Брони!$D$2:$D$500))</f>
        <v/>
      </c>
      <c r="O195" s="19">
        <f>SUMPRODUCT((Брони!$B$2:$B$500=B195)*(Брони!$D$2:$D$500=N195)*((((Брони!$F$2:$F$500="Выдана")*NOW())+((Брони!$F$2:$F$500="Возвращена")*Брони!$E$2:$E$500))&gt;=A195)*Брони!$A$2:$A$500)</f>
        <v/>
      </c>
      <c r="P195" s="19">
        <f>SUMPRODUCT((Брони!$B$2:$B$500=B195)*(Брони!$D$2:$D$500=N195)*(((Брони!$F$2:$F$500="Выдана")+(Брони!$F$2:$F$500="Возвращена"))))</f>
        <v/>
      </c>
      <c r="Q195" s="10" t="n"/>
    </row>
    <row r="196">
      <c r="A196" s="11" t="n"/>
      <c r="B196" s="10" t="n"/>
      <c r="C196" s="10" t="n"/>
      <c r="D196" s="14" t="n"/>
      <c r="E196" s="10" t="n"/>
      <c r="F196" s="20">
        <f>IF(OR(A196="",B196=""),"",IF(OR(NOT(ISNUMBER(A196)),ISERROR(N196+O196+P196)),"Проверьте даты",IF(AND(N196&gt;0,P196&gt;1),"Дубль",IF(AND(N196&gt;0,O196&gt;0),O196,"Вне аренды"))))</f>
        <v/>
      </c>
      <c r="G196" s="12">
        <f>IF(ISNUMBER(F196),IFERROR(INDEX(Брони!$C$2:$C$500,MATCH(F196,Брони!$A$2:$A$500,0)),""),"")</f>
        <v/>
      </c>
      <c r="H196" s="10" t="n"/>
      <c r="I196" s="18" t="n"/>
      <c r="J196" s="12">
        <f>IF(AND(ISNUMBER(F196),I196&lt;&gt;""),IFERROR(IF(AND(INDEX(Брони!$F$2:$F$500,MATCH(F196,Брони!$A$2:$A$500,0))="Возвращена",I196&gt;INDEX(Брони!$E$2:$E$500,MATCH(F196,Брони!$A$2:$A$500,0))),"Да",""),""),"")</f>
        <v/>
      </c>
      <c r="K196" s="10" t="n"/>
      <c r="L196" s="14" t="n"/>
      <c r="M196" s="15">
        <f>IF(OR(A196="",B196=""),"",IF(AND(ISNUMBER(F196),H196&lt;&gt;"Компания"),D196+L196,0))</f>
        <v/>
      </c>
      <c r="N196" s="21">
        <f>SUMPRODUCT(MAX((Брони!$B$2:$B$500=B196)*((Брони!$F$2:$F$500="Выдана")+(Брони!$F$2:$F$500="Возвращена"))*(Брони!$D$2:$D$500&lt;=A196)*Брони!$D$2:$D$500))</f>
        <v/>
      </c>
      <c r="O196" s="19">
        <f>SUMPRODUCT((Брони!$B$2:$B$500=B196)*(Брони!$D$2:$D$500=N196)*((((Брони!$F$2:$F$500="Выдана")*NOW())+((Брони!$F$2:$F$500="Возвращена")*Брони!$E$2:$E$500))&gt;=A196)*Брони!$A$2:$A$500)</f>
        <v/>
      </c>
      <c r="P196" s="19">
        <f>SUMPRODUCT((Брони!$B$2:$B$500=B196)*(Брони!$D$2:$D$500=N196)*(((Брони!$F$2:$F$500="Выдана")+(Брони!$F$2:$F$500="Возвращена"))))</f>
        <v/>
      </c>
      <c r="Q196" s="10" t="n"/>
    </row>
    <row r="197">
      <c r="A197" s="11" t="n"/>
      <c r="B197" s="10" t="n"/>
      <c r="C197" s="10" t="n"/>
      <c r="D197" s="14" t="n"/>
      <c r="E197" s="10" t="n"/>
      <c r="F197" s="20">
        <f>IF(OR(A197="",B197=""),"",IF(OR(NOT(ISNUMBER(A197)),ISERROR(N197+O197+P197)),"Проверьте даты",IF(AND(N197&gt;0,P197&gt;1),"Дубль",IF(AND(N197&gt;0,O197&gt;0),O197,"Вне аренды"))))</f>
        <v/>
      </c>
      <c r="G197" s="12">
        <f>IF(ISNUMBER(F197),IFERROR(INDEX(Брони!$C$2:$C$500,MATCH(F197,Брони!$A$2:$A$500,0)),""),"")</f>
        <v/>
      </c>
      <c r="H197" s="10" t="n"/>
      <c r="I197" s="18" t="n"/>
      <c r="J197" s="12">
        <f>IF(AND(ISNUMBER(F197),I197&lt;&gt;""),IFERROR(IF(AND(INDEX(Брони!$F$2:$F$500,MATCH(F197,Брони!$A$2:$A$500,0))="Возвращена",I197&gt;INDEX(Брони!$E$2:$E$500,MATCH(F197,Брони!$A$2:$A$500,0))),"Да",""),""),"")</f>
        <v/>
      </c>
      <c r="K197" s="10" t="n"/>
      <c r="L197" s="14" t="n"/>
      <c r="M197" s="15">
        <f>IF(OR(A197="",B197=""),"",IF(AND(ISNUMBER(F197),H197&lt;&gt;"Компания"),D197+L197,0))</f>
        <v/>
      </c>
      <c r="N197" s="21">
        <f>SUMPRODUCT(MAX((Брони!$B$2:$B$500=B197)*((Брони!$F$2:$F$500="Выдана")+(Брони!$F$2:$F$500="Возвращена"))*(Брони!$D$2:$D$500&lt;=A197)*Брони!$D$2:$D$500))</f>
        <v/>
      </c>
      <c r="O197" s="19">
        <f>SUMPRODUCT((Брони!$B$2:$B$500=B197)*(Брони!$D$2:$D$500=N197)*((((Брони!$F$2:$F$500="Выдана")*NOW())+((Брони!$F$2:$F$500="Возвращена")*Брони!$E$2:$E$500))&gt;=A197)*Брони!$A$2:$A$500)</f>
        <v/>
      </c>
      <c r="P197" s="19">
        <f>SUMPRODUCT((Брони!$B$2:$B$500=B197)*(Брони!$D$2:$D$500=N197)*(((Брони!$F$2:$F$500="Выдана")+(Брони!$F$2:$F$500="Возвращена"))))</f>
        <v/>
      </c>
      <c r="Q197" s="10" t="n"/>
    </row>
    <row r="198">
      <c r="A198" s="11" t="n"/>
      <c r="B198" s="10" t="n"/>
      <c r="C198" s="10" t="n"/>
      <c r="D198" s="14" t="n"/>
      <c r="E198" s="10" t="n"/>
      <c r="F198" s="20">
        <f>IF(OR(A198="",B198=""),"",IF(OR(NOT(ISNUMBER(A198)),ISERROR(N198+O198+P198)),"Проверьте даты",IF(AND(N198&gt;0,P198&gt;1),"Дубль",IF(AND(N198&gt;0,O198&gt;0),O198,"Вне аренды"))))</f>
        <v/>
      </c>
      <c r="G198" s="12">
        <f>IF(ISNUMBER(F198),IFERROR(INDEX(Брони!$C$2:$C$500,MATCH(F198,Брони!$A$2:$A$500,0)),""),"")</f>
        <v/>
      </c>
      <c r="H198" s="10" t="n"/>
      <c r="I198" s="18" t="n"/>
      <c r="J198" s="12">
        <f>IF(AND(ISNUMBER(F198),I198&lt;&gt;""),IFERROR(IF(AND(INDEX(Брони!$F$2:$F$500,MATCH(F198,Брони!$A$2:$A$500,0))="Возвращена",I198&gt;INDEX(Брони!$E$2:$E$500,MATCH(F198,Брони!$A$2:$A$500,0))),"Да",""),""),"")</f>
        <v/>
      </c>
      <c r="K198" s="10" t="n"/>
      <c r="L198" s="14" t="n"/>
      <c r="M198" s="15">
        <f>IF(OR(A198="",B198=""),"",IF(AND(ISNUMBER(F198),H198&lt;&gt;"Компания"),D198+L198,0))</f>
        <v/>
      </c>
      <c r="N198" s="21">
        <f>SUMPRODUCT(MAX((Брони!$B$2:$B$500=B198)*((Брони!$F$2:$F$500="Выдана")+(Брони!$F$2:$F$500="Возвращена"))*(Брони!$D$2:$D$500&lt;=A198)*Брони!$D$2:$D$500))</f>
        <v/>
      </c>
      <c r="O198" s="19">
        <f>SUMPRODUCT((Брони!$B$2:$B$500=B198)*(Брони!$D$2:$D$500=N198)*((((Брони!$F$2:$F$500="Выдана")*NOW())+((Брони!$F$2:$F$500="Возвращена")*Брони!$E$2:$E$500))&gt;=A198)*Брони!$A$2:$A$500)</f>
        <v/>
      </c>
      <c r="P198" s="19">
        <f>SUMPRODUCT((Брони!$B$2:$B$500=B198)*(Брони!$D$2:$D$500=N198)*(((Брони!$F$2:$F$500="Выдана")+(Брони!$F$2:$F$500="Возвращена"))))</f>
        <v/>
      </c>
      <c r="Q198" s="10" t="n"/>
    </row>
    <row r="199">
      <c r="A199" s="11" t="n"/>
      <c r="B199" s="10" t="n"/>
      <c r="C199" s="10" t="n"/>
      <c r="D199" s="14" t="n"/>
      <c r="E199" s="10" t="n"/>
      <c r="F199" s="20">
        <f>IF(OR(A199="",B199=""),"",IF(OR(NOT(ISNUMBER(A199)),ISERROR(N199+O199+P199)),"Проверьте даты",IF(AND(N199&gt;0,P199&gt;1),"Дубль",IF(AND(N199&gt;0,O199&gt;0),O199,"Вне аренды"))))</f>
        <v/>
      </c>
      <c r="G199" s="12">
        <f>IF(ISNUMBER(F199),IFERROR(INDEX(Брони!$C$2:$C$500,MATCH(F199,Брони!$A$2:$A$500,0)),""),"")</f>
        <v/>
      </c>
      <c r="H199" s="10" t="n"/>
      <c r="I199" s="18" t="n"/>
      <c r="J199" s="12">
        <f>IF(AND(ISNUMBER(F199),I199&lt;&gt;""),IFERROR(IF(AND(INDEX(Брони!$F$2:$F$500,MATCH(F199,Брони!$A$2:$A$500,0))="Возвращена",I199&gt;INDEX(Брони!$E$2:$E$500,MATCH(F199,Брони!$A$2:$A$500,0))),"Да",""),""),"")</f>
        <v/>
      </c>
      <c r="K199" s="10" t="n"/>
      <c r="L199" s="14" t="n"/>
      <c r="M199" s="15">
        <f>IF(OR(A199="",B199=""),"",IF(AND(ISNUMBER(F199),H199&lt;&gt;"Компания"),D199+L199,0))</f>
        <v/>
      </c>
      <c r="N199" s="21">
        <f>SUMPRODUCT(MAX((Брони!$B$2:$B$500=B199)*((Брони!$F$2:$F$500="Выдана")+(Брони!$F$2:$F$500="Возвращена"))*(Брони!$D$2:$D$500&lt;=A199)*Брони!$D$2:$D$500))</f>
        <v/>
      </c>
      <c r="O199" s="19">
        <f>SUMPRODUCT((Брони!$B$2:$B$500=B199)*(Брони!$D$2:$D$500=N199)*((((Брони!$F$2:$F$500="Выдана")*NOW())+((Брони!$F$2:$F$500="Возвращена")*Брони!$E$2:$E$500))&gt;=A199)*Брони!$A$2:$A$500)</f>
        <v/>
      </c>
      <c r="P199" s="19">
        <f>SUMPRODUCT((Брони!$B$2:$B$500=B199)*(Брони!$D$2:$D$500=N199)*(((Брони!$F$2:$F$500="Выдана")+(Брони!$F$2:$F$500="Возвращена"))))</f>
        <v/>
      </c>
      <c r="Q199" s="10" t="n"/>
    </row>
    <row r="200">
      <c r="A200" s="11" t="n"/>
      <c r="B200" s="10" t="n"/>
      <c r="C200" s="10" t="n"/>
      <c r="D200" s="14" t="n"/>
      <c r="E200" s="10" t="n"/>
      <c r="F200" s="20">
        <f>IF(OR(A200="",B200=""),"",IF(OR(NOT(ISNUMBER(A200)),ISERROR(N200+O200+P200)),"Проверьте даты",IF(AND(N200&gt;0,P200&gt;1),"Дубль",IF(AND(N200&gt;0,O200&gt;0),O200,"Вне аренды"))))</f>
        <v/>
      </c>
      <c r="G200" s="12">
        <f>IF(ISNUMBER(F200),IFERROR(INDEX(Брони!$C$2:$C$500,MATCH(F200,Брони!$A$2:$A$500,0)),""),"")</f>
        <v/>
      </c>
      <c r="H200" s="10" t="n"/>
      <c r="I200" s="18" t="n"/>
      <c r="J200" s="12">
        <f>IF(AND(ISNUMBER(F200),I200&lt;&gt;""),IFERROR(IF(AND(INDEX(Брони!$F$2:$F$500,MATCH(F200,Брони!$A$2:$A$500,0))="Возвращена",I200&gt;INDEX(Брони!$E$2:$E$500,MATCH(F200,Брони!$A$2:$A$500,0))),"Да",""),""),"")</f>
        <v/>
      </c>
      <c r="K200" s="10" t="n"/>
      <c r="L200" s="14" t="n"/>
      <c r="M200" s="15">
        <f>IF(OR(A200="",B200=""),"",IF(AND(ISNUMBER(F200),H200&lt;&gt;"Компания"),D200+L200,0))</f>
        <v/>
      </c>
      <c r="N200" s="21">
        <f>SUMPRODUCT(MAX((Брони!$B$2:$B$500=B200)*((Брони!$F$2:$F$500="Выдана")+(Брони!$F$2:$F$500="Возвращена"))*(Брони!$D$2:$D$500&lt;=A200)*Брони!$D$2:$D$500))</f>
        <v/>
      </c>
      <c r="O200" s="19">
        <f>SUMPRODUCT((Брони!$B$2:$B$500=B200)*(Брони!$D$2:$D$500=N200)*((((Брони!$F$2:$F$500="Выдана")*NOW())+((Брони!$F$2:$F$500="Возвращена")*Брони!$E$2:$E$500))&gt;=A200)*Брони!$A$2:$A$500)</f>
        <v/>
      </c>
      <c r="P200" s="19">
        <f>SUMPRODUCT((Брони!$B$2:$B$500=B200)*(Брони!$D$2:$D$500=N200)*(((Брони!$F$2:$F$500="Выдана")+(Брони!$F$2:$F$500="Возвращена"))))</f>
        <v/>
      </c>
      <c r="Q200" s="10" t="n"/>
    </row>
    <row r="201">
      <c r="A201" s="11" t="n"/>
      <c r="B201" s="10" t="n"/>
      <c r="C201" s="10" t="n"/>
      <c r="D201" s="14" t="n"/>
      <c r="E201" s="10" t="n"/>
      <c r="F201" s="20">
        <f>IF(OR(A201="",B201=""),"",IF(OR(NOT(ISNUMBER(A201)),ISERROR(N201+O201+P201)),"Проверьте даты",IF(AND(N201&gt;0,P201&gt;1),"Дубль",IF(AND(N201&gt;0,O201&gt;0),O201,"Вне аренды"))))</f>
        <v/>
      </c>
      <c r="G201" s="12">
        <f>IF(ISNUMBER(F201),IFERROR(INDEX(Брони!$C$2:$C$500,MATCH(F201,Брони!$A$2:$A$500,0)),""),"")</f>
        <v/>
      </c>
      <c r="H201" s="10" t="n"/>
      <c r="I201" s="18" t="n"/>
      <c r="J201" s="12">
        <f>IF(AND(ISNUMBER(F201),I201&lt;&gt;""),IFERROR(IF(AND(INDEX(Брони!$F$2:$F$500,MATCH(F201,Брони!$A$2:$A$500,0))="Возвращена",I201&gt;INDEX(Брони!$E$2:$E$500,MATCH(F201,Брони!$A$2:$A$500,0))),"Да",""),""),"")</f>
        <v/>
      </c>
      <c r="K201" s="10" t="n"/>
      <c r="L201" s="14" t="n"/>
      <c r="M201" s="15">
        <f>IF(OR(A201="",B201=""),"",IF(AND(ISNUMBER(F201),H201&lt;&gt;"Компания"),D201+L201,0))</f>
        <v/>
      </c>
      <c r="N201" s="21">
        <f>SUMPRODUCT(MAX((Брони!$B$2:$B$500=B201)*((Брони!$F$2:$F$500="Выдана")+(Брони!$F$2:$F$500="Возвращена"))*(Брони!$D$2:$D$500&lt;=A201)*Брони!$D$2:$D$500))</f>
        <v/>
      </c>
      <c r="O201" s="19">
        <f>SUMPRODUCT((Брони!$B$2:$B$500=B201)*(Брони!$D$2:$D$500=N201)*((((Брони!$F$2:$F$500="Выдана")*NOW())+((Брони!$F$2:$F$500="Возвращена")*Брони!$E$2:$E$500))&gt;=A201)*Брони!$A$2:$A$500)</f>
        <v/>
      </c>
      <c r="P201" s="19">
        <f>SUMPRODUCT((Брони!$B$2:$B$500=B201)*(Брони!$D$2:$D$500=N201)*(((Брони!$F$2:$F$500="Выдана")+(Брони!$F$2:$F$500="Возвращена"))))</f>
        <v/>
      </c>
      <c r="Q201" s="10" t="n"/>
    </row>
    <row r="202">
      <c r="A202" s="11" t="n"/>
      <c r="B202" s="10" t="n"/>
      <c r="C202" s="10" t="n"/>
      <c r="D202" s="14" t="n"/>
      <c r="E202" s="10" t="n"/>
      <c r="F202" s="20">
        <f>IF(OR(A202="",B202=""),"",IF(OR(NOT(ISNUMBER(A202)),ISERROR(N202+O202+P202)),"Проверьте даты",IF(AND(N202&gt;0,P202&gt;1),"Дубль",IF(AND(N202&gt;0,O202&gt;0),O202,"Вне аренды"))))</f>
        <v/>
      </c>
      <c r="G202" s="12">
        <f>IF(ISNUMBER(F202),IFERROR(INDEX(Брони!$C$2:$C$500,MATCH(F202,Брони!$A$2:$A$500,0)),""),"")</f>
        <v/>
      </c>
      <c r="H202" s="10" t="n"/>
      <c r="I202" s="18" t="n"/>
      <c r="J202" s="12">
        <f>IF(AND(ISNUMBER(F202),I202&lt;&gt;""),IFERROR(IF(AND(INDEX(Брони!$F$2:$F$500,MATCH(F202,Брони!$A$2:$A$500,0))="Возвращена",I202&gt;INDEX(Брони!$E$2:$E$500,MATCH(F202,Брони!$A$2:$A$500,0))),"Да",""),""),"")</f>
        <v/>
      </c>
      <c r="K202" s="10" t="n"/>
      <c r="L202" s="14" t="n"/>
      <c r="M202" s="15">
        <f>IF(OR(A202="",B202=""),"",IF(AND(ISNUMBER(F202),H202&lt;&gt;"Компания"),D202+L202,0))</f>
        <v/>
      </c>
      <c r="N202" s="21">
        <f>SUMPRODUCT(MAX((Брони!$B$2:$B$500=B202)*((Брони!$F$2:$F$500="Выдана")+(Брони!$F$2:$F$500="Возвращена"))*(Брони!$D$2:$D$500&lt;=A202)*Брони!$D$2:$D$500))</f>
        <v/>
      </c>
      <c r="O202" s="19">
        <f>SUMPRODUCT((Брони!$B$2:$B$500=B202)*(Брони!$D$2:$D$500=N202)*((((Брони!$F$2:$F$500="Выдана")*NOW())+((Брони!$F$2:$F$500="Возвращена")*Брони!$E$2:$E$500))&gt;=A202)*Брони!$A$2:$A$500)</f>
        <v/>
      </c>
      <c r="P202" s="19">
        <f>SUMPRODUCT((Брони!$B$2:$B$500=B202)*(Брони!$D$2:$D$500=N202)*(((Брони!$F$2:$F$500="Выдана")+(Брони!$F$2:$F$500="Возвращена"))))</f>
        <v/>
      </c>
      <c r="Q202" s="10" t="n"/>
    </row>
    <row r="203">
      <c r="A203" s="11" t="n"/>
      <c r="B203" s="10" t="n"/>
      <c r="C203" s="10" t="n"/>
      <c r="D203" s="14" t="n"/>
      <c r="E203" s="10" t="n"/>
      <c r="F203" s="20">
        <f>IF(OR(A203="",B203=""),"",IF(OR(NOT(ISNUMBER(A203)),ISERROR(N203+O203+P203)),"Проверьте даты",IF(AND(N203&gt;0,P203&gt;1),"Дубль",IF(AND(N203&gt;0,O203&gt;0),O203,"Вне аренды"))))</f>
        <v/>
      </c>
      <c r="G203" s="12">
        <f>IF(ISNUMBER(F203),IFERROR(INDEX(Брони!$C$2:$C$500,MATCH(F203,Брони!$A$2:$A$500,0)),""),"")</f>
        <v/>
      </c>
      <c r="H203" s="10" t="n"/>
      <c r="I203" s="18" t="n"/>
      <c r="J203" s="12">
        <f>IF(AND(ISNUMBER(F203),I203&lt;&gt;""),IFERROR(IF(AND(INDEX(Брони!$F$2:$F$500,MATCH(F203,Брони!$A$2:$A$500,0))="Возвращена",I203&gt;INDEX(Брони!$E$2:$E$500,MATCH(F203,Брони!$A$2:$A$500,0))),"Да",""),""),"")</f>
        <v/>
      </c>
      <c r="K203" s="10" t="n"/>
      <c r="L203" s="14" t="n"/>
      <c r="M203" s="15">
        <f>IF(OR(A203="",B203=""),"",IF(AND(ISNUMBER(F203),H203&lt;&gt;"Компания"),D203+L203,0))</f>
        <v/>
      </c>
      <c r="N203" s="21">
        <f>SUMPRODUCT(MAX((Брони!$B$2:$B$500=B203)*((Брони!$F$2:$F$500="Выдана")+(Брони!$F$2:$F$500="Возвращена"))*(Брони!$D$2:$D$500&lt;=A203)*Брони!$D$2:$D$500))</f>
        <v/>
      </c>
      <c r="O203" s="19">
        <f>SUMPRODUCT((Брони!$B$2:$B$500=B203)*(Брони!$D$2:$D$500=N203)*((((Брони!$F$2:$F$500="Выдана")*NOW())+((Брони!$F$2:$F$500="Возвращена")*Брони!$E$2:$E$500))&gt;=A203)*Брони!$A$2:$A$500)</f>
        <v/>
      </c>
      <c r="P203" s="19">
        <f>SUMPRODUCT((Брони!$B$2:$B$500=B203)*(Брони!$D$2:$D$500=N203)*(((Брони!$F$2:$F$500="Выдана")+(Брони!$F$2:$F$500="Возвращена"))))</f>
        <v/>
      </c>
      <c r="Q203" s="10" t="n"/>
    </row>
    <row r="204">
      <c r="A204" s="11" t="n"/>
      <c r="B204" s="10" t="n"/>
      <c r="C204" s="10" t="n"/>
      <c r="D204" s="14" t="n"/>
      <c r="E204" s="10" t="n"/>
      <c r="F204" s="20">
        <f>IF(OR(A204="",B204=""),"",IF(OR(NOT(ISNUMBER(A204)),ISERROR(N204+O204+P204)),"Проверьте даты",IF(AND(N204&gt;0,P204&gt;1),"Дубль",IF(AND(N204&gt;0,O204&gt;0),O204,"Вне аренды"))))</f>
        <v/>
      </c>
      <c r="G204" s="12">
        <f>IF(ISNUMBER(F204),IFERROR(INDEX(Брони!$C$2:$C$500,MATCH(F204,Брони!$A$2:$A$500,0)),""),"")</f>
        <v/>
      </c>
      <c r="H204" s="10" t="n"/>
      <c r="I204" s="18" t="n"/>
      <c r="J204" s="12">
        <f>IF(AND(ISNUMBER(F204),I204&lt;&gt;""),IFERROR(IF(AND(INDEX(Брони!$F$2:$F$500,MATCH(F204,Брони!$A$2:$A$500,0))="Возвращена",I204&gt;INDEX(Брони!$E$2:$E$500,MATCH(F204,Брони!$A$2:$A$500,0))),"Да",""),""),"")</f>
        <v/>
      </c>
      <c r="K204" s="10" t="n"/>
      <c r="L204" s="14" t="n"/>
      <c r="M204" s="15">
        <f>IF(OR(A204="",B204=""),"",IF(AND(ISNUMBER(F204),H204&lt;&gt;"Компания"),D204+L204,0))</f>
        <v/>
      </c>
      <c r="N204" s="21">
        <f>SUMPRODUCT(MAX((Брони!$B$2:$B$500=B204)*((Брони!$F$2:$F$500="Выдана")+(Брони!$F$2:$F$500="Возвращена"))*(Брони!$D$2:$D$500&lt;=A204)*Брони!$D$2:$D$500))</f>
        <v/>
      </c>
      <c r="O204" s="19">
        <f>SUMPRODUCT((Брони!$B$2:$B$500=B204)*(Брони!$D$2:$D$500=N204)*((((Брони!$F$2:$F$500="Выдана")*NOW())+((Брони!$F$2:$F$500="Возвращена")*Брони!$E$2:$E$500))&gt;=A204)*Брони!$A$2:$A$500)</f>
        <v/>
      </c>
      <c r="P204" s="19">
        <f>SUMPRODUCT((Брони!$B$2:$B$500=B204)*(Брони!$D$2:$D$500=N204)*(((Брони!$F$2:$F$500="Выдана")+(Брони!$F$2:$F$500="Возвращена"))))</f>
        <v/>
      </c>
      <c r="Q204" s="10" t="n"/>
    </row>
    <row r="205">
      <c r="A205" s="11" t="n"/>
      <c r="B205" s="10" t="n"/>
      <c r="C205" s="10" t="n"/>
      <c r="D205" s="14" t="n"/>
      <c r="E205" s="10" t="n"/>
      <c r="F205" s="20">
        <f>IF(OR(A205="",B205=""),"",IF(OR(NOT(ISNUMBER(A205)),ISERROR(N205+O205+P205)),"Проверьте даты",IF(AND(N205&gt;0,P205&gt;1),"Дубль",IF(AND(N205&gt;0,O205&gt;0),O205,"Вне аренды"))))</f>
        <v/>
      </c>
      <c r="G205" s="12">
        <f>IF(ISNUMBER(F205),IFERROR(INDEX(Брони!$C$2:$C$500,MATCH(F205,Брони!$A$2:$A$500,0)),""),"")</f>
        <v/>
      </c>
      <c r="H205" s="10" t="n"/>
      <c r="I205" s="18" t="n"/>
      <c r="J205" s="12">
        <f>IF(AND(ISNUMBER(F205),I205&lt;&gt;""),IFERROR(IF(AND(INDEX(Брони!$F$2:$F$500,MATCH(F205,Брони!$A$2:$A$500,0))="Возвращена",I205&gt;INDEX(Брони!$E$2:$E$500,MATCH(F205,Брони!$A$2:$A$500,0))),"Да",""),""),"")</f>
        <v/>
      </c>
      <c r="K205" s="10" t="n"/>
      <c r="L205" s="14" t="n"/>
      <c r="M205" s="15">
        <f>IF(OR(A205="",B205=""),"",IF(AND(ISNUMBER(F205),H205&lt;&gt;"Компания"),D205+L205,0))</f>
        <v/>
      </c>
      <c r="N205" s="21">
        <f>SUMPRODUCT(MAX((Брони!$B$2:$B$500=B205)*((Брони!$F$2:$F$500="Выдана")+(Брони!$F$2:$F$500="Возвращена"))*(Брони!$D$2:$D$500&lt;=A205)*Брони!$D$2:$D$500))</f>
        <v/>
      </c>
      <c r="O205" s="19">
        <f>SUMPRODUCT((Брони!$B$2:$B$500=B205)*(Брони!$D$2:$D$500=N205)*((((Брони!$F$2:$F$500="Выдана")*NOW())+((Брони!$F$2:$F$500="Возвращена")*Брони!$E$2:$E$500))&gt;=A205)*Брони!$A$2:$A$500)</f>
        <v/>
      </c>
      <c r="P205" s="19">
        <f>SUMPRODUCT((Брони!$B$2:$B$500=B205)*(Брони!$D$2:$D$500=N205)*(((Брони!$F$2:$F$500="Выдана")+(Брони!$F$2:$F$500="Возвращена"))))</f>
        <v/>
      </c>
      <c r="Q205" s="10" t="n"/>
    </row>
    <row r="206">
      <c r="A206" s="11" t="n"/>
      <c r="B206" s="10" t="n"/>
      <c r="C206" s="10" t="n"/>
      <c r="D206" s="14" t="n"/>
      <c r="E206" s="10" t="n"/>
      <c r="F206" s="20">
        <f>IF(OR(A206="",B206=""),"",IF(OR(NOT(ISNUMBER(A206)),ISERROR(N206+O206+P206)),"Проверьте даты",IF(AND(N206&gt;0,P206&gt;1),"Дубль",IF(AND(N206&gt;0,O206&gt;0),O206,"Вне аренды"))))</f>
        <v/>
      </c>
      <c r="G206" s="12">
        <f>IF(ISNUMBER(F206),IFERROR(INDEX(Брони!$C$2:$C$500,MATCH(F206,Брони!$A$2:$A$500,0)),""),"")</f>
        <v/>
      </c>
      <c r="H206" s="10" t="n"/>
      <c r="I206" s="18" t="n"/>
      <c r="J206" s="12">
        <f>IF(AND(ISNUMBER(F206),I206&lt;&gt;""),IFERROR(IF(AND(INDEX(Брони!$F$2:$F$500,MATCH(F206,Брони!$A$2:$A$500,0))="Возвращена",I206&gt;INDEX(Брони!$E$2:$E$500,MATCH(F206,Брони!$A$2:$A$500,0))),"Да",""),""),"")</f>
        <v/>
      </c>
      <c r="K206" s="10" t="n"/>
      <c r="L206" s="14" t="n"/>
      <c r="M206" s="15">
        <f>IF(OR(A206="",B206=""),"",IF(AND(ISNUMBER(F206),H206&lt;&gt;"Компания"),D206+L206,0))</f>
        <v/>
      </c>
      <c r="N206" s="21">
        <f>SUMPRODUCT(MAX((Брони!$B$2:$B$500=B206)*((Брони!$F$2:$F$500="Выдана")+(Брони!$F$2:$F$500="Возвращена"))*(Брони!$D$2:$D$500&lt;=A206)*Брони!$D$2:$D$500))</f>
        <v/>
      </c>
      <c r="O206" s="19">
        <f>SUMPRODUCT((Брони!$B$2:$B$500=B206)*(Брони!$D$2:$D$500=N206)*((((Брони!$F$2:$F$500="Выдана")*NOW())+((Брони!$F$2:$F$500="Возвращена")*Брони!$E$2:$E$500))&gt;=A206)*Брони!$A$2:$A$500)</f>
        <v/>
      </c>
      <c r="P206" s="19">
        <f>SUMPRODUCT((Брони!$B$2:$B$500=B206)*(Брони!$D$2:$D$500=N206)*(((Брони!$F$2:$F$500="Выдана")+(Брони!$F$2:$F$500="Возвращена"))))</f>
        <v/>
      </c>
      <c r="Q206" s="10" t="n"/>
    </row>
    <row r="207">
      <c r="A207" s="11" t="n"/>
      <c r="B207" s="10" t="n"/>
      <c r="C207" s="10" t="n"/>
      <c r="D207" s="14" t="n"/>
      <c r="E207" s="10" t="n"/>
      <c r="F207" s="20">
        <f>IF(OR(A207="",B207=""),"",IF(OR(NOT(ISNUMBER(A207)),ISERROR(N207+O207+P207)),"Проверьте даты",IF(AND(N207&gt;0,P207&gt;1),"Дубль",IF(AND(N207&gt;0,O207&gt;0),O207,"Вне аренды"))))</f>
        <v/>
      </c>
      <c r="G207" s="12">
        <f>IF(ISNUMBER(F207),IFERROR(INDEX(Брони!$C$2:$C$500,MATCH(F207,Брони!$A$2:$A$500,0)),""),"")</f>
        <v/>
      </c>
      <c r="H207" s="10" t="n"/>
      <c r="I207" s="18" t="n"/>
      <c r="J207" s="12">
        <f>IF(AND(ISNUMBER(F207),I207&lt;&gt;""),IFERROR(IF(AND(INDEX(Брони!$F$2:$F$500,MATCH(F207,Брони!$A$2:$A$500,0))="Возвращена",I207&gt;INDEX(Брони!$E$2:$E$500,MATCH(F207,Брони!$A$2:$A$500,0))),"Да",""),""),"")</f>
        <v/>
      </c>
      <c r="K207" s="10" t="n"/>
      <c r="L207" s="14" t="n"/>
      <c r="M207" s="15">
        <f>IF(OR(A207="",B207=""),"",IF(AND(ISNUMBER(F207),H207&lt;&gt;"Компания"),D207+L207,0))</f>
        <v/>
      </c>
      <c r="N207" s="21">
        <f>SUMPRODUCT(MAX((Брони!$B$2:$B$500=B207)*((Брони!$F$2:$F$500="Выдана")+(Брони!$F$2:$F$500="Возвращена"))*(Брони!$D$2:$D$500&lt;=A207)*Брони!$D$2:$D$500))</f>
        <v/>
      </c>
      <c r="O207" s="19">
        <f>SUMPRODUCT((Брони!$B$2:$B$500=B207)*(Брони!$D$2:$D$500=N207)*((((Брони!$F$2:$F$500="Выдана")*NOW())+((Брони!$F$2:$F$500="Возвращена")*Брони!$E$2:$E$500))&gt;=A207)*Брони!$A$2:$A$500)</f>
        <v/>
      </c>
      <c r="P207" s="19">
        <f>SUMPRODUCT((Брони!$B$2:$B$500=B207)*(Брони!$D$2:$D$500=N207)*(((Брони!$F$2:$F$500="Выдана")+(Брони!$F$2:$F$500="Возвращена"))))</f>
        <v/>
      </c>
      <c r="Q207" s="10" t="n"/>
    </row>
    <row r="208">
      <c r="A208" s="11" t="n"/>
      <c r="B208" s="10" t="n"/>
      <c r="C208" s="10" t="n"/>
      <c r="D208" s="14" t="n"/>
      <c r="E208" s="10" t="n"/>
      <c r="F208" s="20">
        <f>IF(OR(A208="",B208=""),"",IF(OR(NOT(ISNUMBER(A208)),ISERROR(N208+O208+P208)),"Проверьте даты",IF(AND(N208&gt;0,P208&gt;1),"Дубль",IF(AND(N208&gt;0,O208&gt;0),O208,"Вне аренды"))))</f>
        <v/>
      </c>
      <c r="G208" s="12">
        <f>IF(ISNUMBER(F208),IFERROR(INDEX(Брони!$C$2:$C$500,MATCH(F208,Брони!$A$2:$A$500,0)),""),"")</f>
        <v/>
      </c>
      <c r="H208" s="10" t="n"/>
      <c r="I208" s="18" t="n"/>
      <c r="J208" s="12">
        <f>IF(AND(ISNUMBER(F208),I208&lt;&gt;""),IFERROR(IF(AND(INDEX(Брони!$F$2:$F$500,MATCH(F208,Брони!$A$2:$A$500,0))="Возвращена",I208&gt;INDEX(Брони!$E$2:$E$500,MATCH(F208,Брони!$A$2:$A$500,0))),"Да",""),""),"")</f>
        <v/>
      </c>
      <c r="K208" s="10" t="n"/>
      <c r="L208" s="14" t="n"/>
      <c r="M208" s="15">
        <f>IF(OR(A208="",B208=""),"",IF(AND(ISNUMBER(F208),H208&lt;&gt;"Компания"),D208+L208,0))</f>
        <v/>
      </c>
      <c r="N208" s="21">
        <f>SUMPRODUCT(MAX((Брони!$B$2:$B$500=B208)*((Брони!$F$2:$F$500="Выдана")+(Брони!$F$2:$F$500="Возвращена"))*(Брони!$D$2:$D$500&lt;=A208)*Брони!$D$2:$D$500))</f>
        <v/>
      </c>
      <c r="O208" s="19">
        <f>SUMPRODUCT((Брони!$B$2:$B$500=B208)*(Брони!$D$2:$D$500=N208)*((((Брони!$F$2:$F$500="Выдана")*NOW())+((Брони!$F$2:$F$500="Возвращена")*Брони!$E$2:$E$500))&gt;=A208)*Брони!$A$2:$A$500)</f>
        <v/>
      </c>
      <c r="P208" s="19">
        <f>SUMPRODUCT((Брони!$B$2:$B$500=B208)*(Брони!$D$2:$D$500=N208)*(((Брони!$F$2:$F$500="Выдана")+(Брони!$F$2:$F$500="Возвращена"))))</f>
        <v/>
      </c>
      <c r="Q208" s="10" t="n"/>
    </row>
    <row r="209">
      <c r="A209" s="11" t="n"/>
      <c r="B209" s="10" t="n"/>
      <c r="C209" s="10" t="n"/>
      <c r="D209" s="14" t="n"/>
      <c r="E209" s="10" t="n"/>
      <c r="F209" s="20">
        <f>IF(OR(A209="",B209=""),"",IF(OR(NOT(ISNUMBER(A209)),ISERROR(N209+O209+P209)),"Проверьте даты",IF(AND(N209&gt;0,P209&gt;1),"Дубль",IF(AND(N209&gt;0,O209&gt;0),O209,"Вне аренды"))))</f>
        <v/>
      </c>
      <c r="G209" s="12">
        <f>IF(ISNUMBER(F209),IFERROR(INDEX(Брони!$C$2:$C$500,MATCH(F209,Брони!$A$2:$A$500,0)),""),"")</f>
        <v/>
      </c>
      <c r="H209" s="10" t="n"/>
      <c r="I209" s="18" t="n"/>
      <c r="J209" s="12">
        <f>IF(AND(ISNUMBER(F209),I209&lt;&gt;""),IFERROR(IF(AND(INDEX(Брони!$F$2:$F$500,MATCH(F209,Брони!$A$2:$A$500,0))="Возвращена",I209&gt;INDEX(Брони!$E$2:$E$500,MATCH(F209,Брони!$A$2:$A$500,0))),"Да",""),""),"")</f>
        <v/>
      </c>
      <c r="K209" s="10" t="n"/>
      <c r="L209" s="14" t="n"/>
      <c r="M209" s="15">
        <f>IF(OR(A209="",B209=""),"",IF(AND(ISNUMBER(F209),H209&lt;&gt;"Компания"),D209+L209,0))</f>
        <v/>
      </c>
      <c r="N209" s="21">
        <f>SUMPRODUCT(MAX((Брони!$B$2:$B$500=B209)*((Брони!$F$2:$F$500="Выдана")+(Брони!$F$2:$F$500="Возвращена"))*(Брони!$D$2:$D$500&lt;=A209)*Брони!$D$2:$D$500))</f>
        <v/>
      </c>
      <c r="O209" s="19">
        <f>SUMPRODUCT((Брони!$B$2:$B$500=B209)*(Брони!$D$2:$D$500=N209)*((((Брони!$F$2:$F$500="Выдана")*NOW())+((Брони!$F$2:$F$500="Возвращена")*Брони!$E$2:$E$500))&gt;=A209)*Брони!$A$2:$A$500)</f>
        <v/>
      </c>
      <c r="P209" s="19">
        <f>SUMPRODUCT((Брони!$B$2:$B$500=B209)*(Брони!$D$2:$D$500=N209)*(((Брони!$F$2:$F$500="Выдана")+(Брони!$F$2:$F$500="Возвращена"))))</f>
        <v/>
      </c>
      <c r="Q209" s="10" t="n"/>
    </row>
    <row r="210">
      <c r="A210" s="11" t="n"/>
      <c r="B210" s="10" t="n"/>
      <c r="C210" s="10" t="n"/>
      <c r="D210" s="14" t="n"/>
      <c r="E210" s="10" t="n"/>
      <c r="F210" s="20">
        <f>IF(OR(A210="",B210=""),"",IF(OR(NOT(ISNUMBER(A210)),ISERROR(N210+O210+P210)),"Проверьте даты",IF(AND(N210&gt;0,P210&gt;1),"Дубль",IF(AND(N210&gt;0,O210&gt;0),O210,"Вне аренды"))))</f>
        <v/>
      </c>
      <c r="G210" s="12">
        <f>IF(ISNUMBER(F210),IFERROR(INDEX(Брони!$C$2:$C$500,MATCH(F210,Брони!$A$2:$A$500,0)),""),"")</f>
        <v/>
      </c>
      <c r="H210" s="10" t="n"/>
      <c r="I210" s="18" t="n"/>
      <c r="J210" s="12">
        <f>IF(AND(ISNUMBER(F210),I210&lt;&gt;""),IFERROR(IF(AND(INDEX(Брони!$F$2:$F$500,MATCH(F210,Брони!$A$2:$A$500,0))="Возвращена",I210&gt;INDEX(Брони!$E$2:$E$500,MATCH(F210,Брони!$A$2:$A$500,0))),"Да",""),""),"")</f>
        <v/>
      </c>
      <c r="K210" s="10" t="n"/>
      <c r="L210" s="14" t="n"/>
      <c r="M210" s="15">
        <f>IF(OR(A210="",B210=""),"",IF(AND(ISNUMBER(F210),H210&lt;&gt;"Компания"),D210+L210,0))</f>
        <v/>
      </c>
      <c r="N210" s="21">
        <f>SUMPRODUCT(MAX((Брони!$B$2:$B$500=B210)*((Брони!$F$2:$F$500="Выдана")+(Брони!$F$2:$F$500="Возвращена"))*(Брони!$D$2:$D$500&lt;=A210)*Брони!$D$2:$D$500))</f>
        <v/>
      </c>
      <c r="O210" s="19">
        <f>SUMPRODUCT((Брони!$B$2:$B$500=B210)*(Брони!$D$2:$D$500=N210)*((((Брони!$F$2:$F$500="Выдана")*NOW())+((Брони!$F$2:$F$500="Возвращена")*Брони!$E$2:$E$500))&gt;=A210)*Брони!$A$2:$A$500)</f>
        <v/>
      </c>
      <c r="P210" s="19">
        <f>SUMPRODUCT((Брони!$B$2:$B$500=B210)*(Брони!$D$2:$D$500=N210)*(((Брони!$F$2:$F$500="Выдана")+(Брони!$F$2:$F$500="Возвращена"))))</f>
        <v/>
      </c>
      <c r="Q210" s="10" t="n"/>
    </row>
    <row r="211">
      <c r="A211" s="11" t="n"/>
      <c r="B211" s="10" t="n"/>
      <c r="C211" s="10" t="n"/>
      <c r="D211" s="14" t="n"/>
      <c r="E211" s="10" t="n"/>
      <c r="F211" s="20">
        <f>IF(OR(A211="",B211=""),"",IF(OR(NOT(ISNUMBER(A211)),ISERROR(N211+O211+P211)),"Проверьте даты",IF(AND(N211&gt;0,P211&gt;1),"Дубль",IF(AND(N211&gt;0,O211&gt;0),O211,"Вне аренды"))))</f>
        <v/>
      </c>
      <c r="G211" s="12">
        <f>IF(ISNUMBER(F211),IFERROR(INDEX(Брони!$C$2:$C$500,MATCH(F211,Брони!$A$2:$A$500,0)),""),"")</f>
        <v/>
      </c>
      <c r="H211" s="10" t="n"/>
      <c r="I211" s="18" t="n"/>
      <c r="J211" s="12">
        <f>IF(AND(ISNUMBER(F211),I211&lt;&gt;""),IFERROR(IF(AND(INDEX(Брони!$F$2:$F$500,MATCH(F211,Брони!$A$2:$A$500,0))="Возвращена",I211&gt;INDEX(Брони!$E$2:$E$500,MATCH(F211,Брони!$A$2:$A$500,0))),"Да",""),""),"")</f>
        <v/>
      </c>
      <c r="K211" s="10" t="n"/>
      <c r="L211" s="14" t="n"/>
      <c r="M211" s="15">
        <f>IF(OR(A211="",B211=""),"",IF(AND(ISNUMBER(F211),H211&lt;&gt;"Компания"),D211+L211,0))</f>
        <v/>
      </c>
      <c r="N211" s="21">
        <f>SUMPRODUCT(MAX((Брони!$B$2:$B$500=B211)*((Брони!$F$2:$F$500="Выдана")+(Брони!$F$2:$F$500="Возвращена"))*(Брони!$D$2:$D$500&lt;=A211)*Брони!$D$2:$D$500))</f>
        <v/>
      </c>
      <c r="O211" s="19">
        <f>SUMPRODUCT((Брони!$B$2:$B$500=B211)*(Брони!$D$2:$D$500=N211)*((((Брони!$F$2:$F$500="Выдана")*NOW())+((Брони!$F$2:$F$500="Возвращена")*Брони!$E$2:$E$500))&gt;=A211)*Брони!$A$2:$A$500)</f>
        <v/>
      </c>
      <c r="P211" s="19">
        <f>SUMPRODUCT((Брони!$B$2:$B$500=B211)*(Брони!$D$2:$D$500=N211)*(((Брони!$F$2:$F$500="Выдана")+(Брони!$F$2:$F$500="Возвращена"))))</f>
        <v/>
      </c>
      <c r="Q211" s="10" t="n"/>
    </row>
    <row r="212">
      <c r="A212" s="11" t="n"/>
      <c r="B212" s="10" t="n"/>
      <c r="C212" s="10" t="n"/>
      <c r="D212" s="14" t="n"/>
      <c r="E212" s="10" t="n"/>
      <c r="F212" s="20">
        <f>IF(OR(A212="",B212=""),"",IF(OR(NOT(ISNUMBER(A212)),ISERROR(N212+O212+P212)),"Проверьте даты",IF(AND(N212&gt;0,P212&gt;1),"Дубль",IF(AND(N212&gt;0,O212&gt;0),O212,"Вне аренды"))))</f>
        <v/>
      </c>
      <c r="G212" s="12">
        <f>IF(ISNUMBER(F212),IFERROR(INDEX(Брони!$C$2:$C$500,MATCH(F212,Брони!$A$2:$A$500,0)),""),"")</f>
        <v/>
      </c>
      <c r="H212" s="10" t="n"/>
      <c r="I212" s="18" t="n"/>
      <c r="J212" s="12">
        <f>IF(AND(ISNUMBER(F212),I212&lt;&gt;""),IFERROR(IF(AND(INDEX(Брони!$F$2:$F$500,MATCH(F212,Брони!$A$2:$A$500,0))="Возвращена",I212&gt;INDEX(Брони!$E$2:$E$500,MATCH(F212,Брони!$A$2:$A$500,0))),"Да",""),""),"")</f>
        <v/>
      </c>
      <c r="K212" s="10" t="n"/>
      <c r="L212" s="14" t="n"/>
      <c r="M212" s="15">
        <f>IF(OR(A212="",B212=""),"",IF(AND(ISNUMBER(F212),H212&lt;&gt;"Компания"),D212+L212,0))</f>
        <v/>
      </c>
      <c r="N212" s="21">
        <f>SUMPRODUCT(MAX((Брони!$B$2:$B$500=B212)*((Брони!$F$2:$F$500="Выдана")+(Брони!$F$2:$F$500="Возвращена"))*(Брони!$D$2:$D$500&lt;=A212)*Брони!$D$2:$D$500))</f>
        <v/>
      </c>
      <c r="O212" s="19">
        <f>SUMPRODUCT((Брони!$B$2:$B$500=B212)*(Брони!$D$2:$D$500=N212)*((((Брони!$F$2:$F$500="Выдана")*NOW())+((Брони!$F$2:$F$500="Возвращена")*Брони!$E$2:$E$500))&gt;=A212)*Брони!$A$2:$A$500)</f>
        <v/>
      </c>
      <c r="P212" s="19">
        <f>SUMPRODUCT((Брони!$B$2:$B$500=B212)*(Брони!$D$2:$D$500=N212)*(((Брони!$F$2:$F$500="Выдана")+(Брони!$F$2:$F$500="Возвращена"))))</f>
        <v/>
      </c>
      <c r="Q212" s="10" t="n"/>
    </row>
    <row r="213">
      <c r="A213" s="11" t="n"/>
      <c r="B213" s="10" t="n"/>
      <c r="C213" s="10" t="n"/>
      <c r="D213" s="14" t="n"/>
      <c r="E213" s="10" t="n"/>
      <c r="F213" s="20">
        <f>IF(OR(A213="",B213=""),"",IF(OR(NOT(ISNUMBER(A213)),ISERROR(N213+O213+P213)),"Проверьте даты",IF(AND(N213&gt;0,P213&gt;1),"Дубль",IF(AND(N213&gt;0,O213&gt;0),O213,"Вне аренды"))))</f>
        <v/>
      </c>
      <c r="G213" s="12">
        <f>IF(ISNUMBER(F213),IFERROR(INDEX(Брони!$C$2:$C$500,MATCH(F213,Брони!$A$2:$A$500,0)),""),"")</f>
        <v/>
      </c>
      <c r="H213" s="10" t="n"/>
      <c r="I213" s="18" t="n"/>
      <c r="J213" s="12">
        <f>IF(AND(ISNUMBER(F213),I213&lt;&gt;""),IFERROR(IF(AND(INDEX(Брони!$F$2:$F$500,MATCH(F213,Брони!$A$2:$A$500,0))="Возвращена",I213&gt;INDEX(Брони!$E$2:$E$500,MATCH(F213,Брони!$A$2:$A$500,0))),"Да",""),""),"")</f>
        <v/>
      </c>
      <c r="K213" s="10" t="n"/>
      <c r="L213" s="14" t="n"/>
      <c r="M213" s="15">
        <f>IF(OR(A213="",B213=""),"",IF(AND(ISNUMBER(F213),H213&lt;&gt;"Компания"),D213+L213,0))</f>
        <v/>
      </c>
      <c r="N213" s="21">
        <f>SUMPRODUCT(MAX((Брони!$B$2:$B$500=B213)*((Брони!$F$2:$F$500="Выдана")+(Брони!$F$2:$F$500="Возвращена"))*(Брони!$D$2:$D$500&lt;=A213)*Брони!$D$2:$D$500))</f>
        <v/>
      </c>
      <c r="O213" s="19">
        <f>SUMPRODUCT((Брони!$B$2:$B$500=B213)*(Брони!$D$2:$D$500=N213)*((((Брони!$F$2:$F$500="Выдана")*NOW())+((Брони!$F$2:$F$500="Возвращена")*Брони!$E$2:$E$500))&gt;=A213)*Брони!$A$2:$A$500)</f>
        <v/>
      </c>
      <c r="P213" s="19">
        <f>SUMPRODUCT((Брони!$B$2:$B$500=B213)*(Брони!$D$2:$D$500=N213)*(((Брони!$F$2:$F$500="Выдана")+(Брони!$F$2:$F$500="Возвращена"))))</f>
        <v/>
      </c>
      <c r="Q213" s="10" t="n"/>
    </row>
    <row r="214">
      <c r="A214" s="11" t="n"/>
      <c r="B214" s="10" t="n"/>
      <c r="C214" s="10" t="n"/>
      <c r="D214" s="14" t="n"/>
      <c r="E214" s="10" t="n"/>
      <c r="F214" s="20">
        <f>IF(OR(A214="",B214=""),"",IF(OR(NOT(ISNUMBER(A214)),ISERROR(N214+O214+P214)),"Проверьте даты",IF(AND(N214&gt;0,P214&gt;1),"Дубль",IF(AND(N214&gt;0,O214&gt;0),O214,"Вне аренды"))))</f>
        <v/>
      </c>
      <c r="G214" s="12">
        <f>IF(ISNUMBER(F214),IFERROR(INDEX(Брони!$C$2:$C$500,MATCH(F214,Брони!$A$2:$A$500,0)),""),"")</f>
        <v/>
      </c>
      <c r="H214" s="10" t="n"/>
      <c r="I214" s="18" t="n"/>
      <c r="J214" s="12">
        <f>IF(AND(ISNUMBER(F214),I214&lt;&gt;""),IFERROR(IF(AND(INDEX(Брони!$F$2:$F$500,MATCH(F214,Брони!$A$2:$A$500,0))="Возвращена",I214&gt;INDEX(Брони!$E$2:$E$500,MATCH(F214,Брони!$A$2:$A$500,0))),"Да",""),""),"")</f>
        <v/>
      </c>
      <c r="K214" s="10" t="n"/>
      <c r="L214" s="14" t="n"/>
      <c r="M214" s="15">
        <f>IF(OR(A214="",B214=""),"",IF(AND(ISNUMBER(F214),H214&lt;&gt;"Компания"),D214+L214,0))</f>
        <v/>
      </c>
      <c r="N214" s="21">
        <f>SUMPRODUCT(MAX((Брони!$B$2:$B$500=B214)*((Брони!$F$2:$F$500="Выдана")+(Брони!$F$2:$F$500="Возвращена"))*(Брони!$D$2:$D$500&lt;=A214)*Брони!$D$2:$D$500))</f>
        <v/>
      </c>
      <c r="O214" s="19">
        <f>SUMPRODUCT((Брони!$B$2:$B$500=B214)*(Брони!$D$2:$D$500=N214)*((((Брони!$F$2:$F$500="Выдана")*NOW())+((Брони!$F$2:$F$500="Возвращена")*Брони!$E$2:$E$500))&gt;=A214)*Брони!$A$2:$A$500)</f>
        <v/>
      </c>
      <c r="P214" s="19">
        <f>SUMPRODUCT((Брони!$B$2:$B$500=B214)*(Брони!$D$2:$D$500=N214)*(((Брони!$F$2:$F$500="Выдана")+(Брони!$F$2:$F$500="Возвращена"))))</f>
        <v/>
      </c>
      <c r="Q214" s="10" t="n"/>
    </row>
    <row r="215">
      <c r="A215" s="11" t="n"/>
      <c r="B215" s="10" t="n"/>
      <c r="C215" s="10" t="n"/>
      <c r="D215" s="14" t="n"/>
      <c r="E215" s="10" t="n"/>
      <c r="F215" s="20">
        <f>IF(OR(A215="",B215=""),"",IF(OR(NOT(ISNUMBER(A215)),ISERROR(N215+O215+P215)),"Проверьте даты",IF(AND(N215&gt;0,P215&gt;1),"Дубль",IF(AND(N215&gt;0,O215&gt;0),O215,"Вне аренды"))))</f>
        <v/>
      </c>
      <c r="G215" s="12">
        <f>IF(ISNUMBER(F215),IFERROR(INDEX(Брони!$C$2:$C$500,MATCH(F215,Брони!$A$2:$A$500,0)),""),"")</f>
        <v/>
      </c>
      <c r="H215" s="10" t="n"/>
      <c r="I215" s="18" t="n"/>
      <c r="J215" s="12">
        <f>IF(AND(ISNUMBER(F215),I215&lt;&gt;""),IFERROR(IF(AND(INDEX(Брони!$F$2:$F$500,MATCH(F215,Брони!$A$2:$A$500,0))="Возвращена",I215&gt;INDEX(Брони!$E$2:$E$500,MATCH(F215,Брони!$A$2:$A$500,0))),"Да",""),""),"")</f>
        <v/>
      </c>
      <c r="K215" s="10" t="n"/>
      <c r="L215" s="14" t="n"/>
      <c r="M215" s="15">
        <f>IF(OR(A215="",B215=""),"",IF(AND(ISNUMBER(F215),H215&lt;&gt;"Компания"),D215+L215,0))</f>
        <v/>
      </c>
      <c r="N215" s="21">
        <f>SUMPRODUCT(MAX((Брони!$B$2:$B$500=B215)*((Брони!$F$2:$F$500="Выдана")+(Брони!$F$2:$F$500="Возвращена"))*(Брони!$D$2:$D$500&lt;=A215)*Брони!$D$2:$D$500))</f>
        <v/>
      </c>
      <c r="O215" s="19">
        <f>SUMPRODUCT((Брони!$B$2:$B$500=B215)*(Брони!$D$2:$D$500=N215)*((((Брони!$F$2:$F$500="Выдана")*NOW())+((Брони!$F$2:$F$500="Возвращена")*Брони!$E$2:$E$500))&gt;=A215)*Брони!$A$2:$A$500)</f>
        <v/>
      </c>
      <c r="P215" s="19">
        <f>SUMPRODUCT((Брони!$B$2:$B$500=B215)*(Брони!$D$2:$D$500=N215)*(((Брони!$F$2:$F$500="Выдана")+(Брони!$F$2:$F$500="Возвращена"))))</f>
        <v/>
      </c>
      <c r="Q215" s="10" t="n"/>
    </row>
    <row r="216">
      <c r="A216" s="11" t="n"/>
      <c r="B216" s="10" t="n"/>
      <c r="C216" s="10" t="n"/>
      <c r="D216" s="14" t="n"/>
      <c r="E216" s="10" t="n"/>
      <c r="F216" s="20">
        <f>IF(OR(A216="",B216=""),"",IF(OR(NOT(ISNUMBER(A216)),ISERROR(N216+O216+P216)),"Проверьте даты",IF(AND(N216&gt;0,P216&gt;1),"Дубль",IF(AND(N216&gt;0,O216&gt;0),O216,"Вне аренды"))))</f>
        <v/>
      </c>
      <c r="G216" s="12">
        <f>IF(ISNUMBER(F216),IFERROR(INDEX(Брони!$C$2:$C$500,MATCH(F216,Брони!$A$2:$A$500,0)),""),"")</f>
        <v/>
      </c>
      <c r="H216" s="10" t="n"/>
      <c r="I216" s="18" t="n"/>
      <c r="J216" s="12">
        <f>IF(AND(ISNUMBER(F216),I216&lt;&gt;""),IFERROR(IF(AND(INDEX(Брони!$F$2:$F$500,MATCH(F216,Брони!$A$2:$A$500,0))="Возвращена",I216&gt;INDEX(Брони!$E$2:$E$500,MATCH(F216,Брони!$A$2:$A$500,0))),"Да",""),""),"")</f>
        <v/>
      </c>
      <c r="K216" s="10" t="n"/>
      <c r="L216" s="14" t="n"/>
      <c r="M216" s="15">
        <f>IF(OR(A216="",B216=""),"",IF(AND(ISNUMBER(F216),H216&lt;&gt;"Компания"),D216+L216,0))</f>
        <v/>
      </c>
      <c r="N216" s="21">
        <f>SUMPRODUCT(MAX((Брони!$B$2:$B$500=B216)*((Брони!$F$2:$F$500="Выдана")+(Брони!$F$2:$F$500="Возвращена"))*(Брони!$D$2:$D$500&lt;=A216)*Брони!$D$2:$D$500))</f>
        <v/>
      </c>
      <c r="O216" s="19">
        <f>SUMPRODUCT((Брони!$B$2:$B$500=B216)*(Брони!$D$2:$D$500=N216)*((((Брони!$F$2:$F$500="Выдана")*NOW())+((Брони!$F$2:$F$500="Возвращена")*Брони!$E$2:$E$500))&gt;=A216)*Брони!$A$2:$A$500)</f>
        <v/>
      </c>
      <c r="P216" s="19">
        <f>SUMPRODUCT((Брони!$B$2:$B$500=B216)*(Брони!$D$2:$D$500=N216)*(((Брони!$F$2:$F$500="Выдана")+(Брони!$F$2:$F$500="Возвращена"))))</f>
        <v/>
      </c>
      <c r="Q216" s="10" t="n"/>
    </row>
    <row r="217">
      <c r="A217" s="11" t="n"/>
      <c r="B217" s="10" t="n"/>
      <c r="C217" s="10" t="n"/>
      <c r="D217" s="14" t="n"/>
      <c r="E217" s="10" t="n"/>
      <c r="F217" s="20">
        <f>IF(OR(A217="",B217=""),"",IF(OR(NOT(ISNUMBER(A217)),ISERROR(N217+O217+P217)),"Проверьте даты",IF(AND(N217&gt;0,P217&gt;1),"Дубль",IF(AND(N217&gt;0,O217&gt;0),O217,"Вне аренды"))))</f>
        <v/>
      </c>
      <c r="G217" s="12">
        <f>IF(ISNUMBER(F217),IFERROR(INDEX(Брони!$C$2:$C$500,MATCH(F217,Брони!$A$2:$A$500,0)),""),"")</f>
        <v/>
      </c>
      <c r="H217" s="10" t="n"/>
      <c r="I217" s="18" t="n"/>
      <c r="J217" s="12">
        <f>IF(AND(ISNUMBER(F217),I217&lt;&gt;""),IFERROR(IF(AND(INDEX(Брони!$F$2:$F$500,MATCH(F217,Брони!$A$2:$A$500,0))="Возвращена",I217&gt;INDEX(Брони!$E$2:$E$500,MATCH(F217,Брони!$A$2:$A$500,0))),"Да",""),""),"")</f>
        <v/>
      </c>
      <c r="K217" s="10" t="n"/>
      <c r="L217" s="14" t="n"/>
      <c r="M217" s="15">
        <f>IF(OR(A217="",B217=""),"",IF(AND(ISNUMBER(F217),H217&lt;&gt;"Компания"),D217+L217,0))</f>
        <v/>
      </c>
      <c r="N217" s="21">
        <f>SUMPRODUCT(MAX((Брони!$B$2:$B$500=B217)*((Брони!$F$2:$F$500="Выдана")+(Брони!$F$2:$F$500="Возвращена"))*(Брони!$D$2:$D$500&lt;=A217)*Брони!$D$2:$D$500))</f>
        <v/>
      </c>
      <c r="O217" s="19">
        <f>SUMPRODUCT((Брони!$B$2:$B$500=B217)*(Брони!$D$2:$D$500=N217)*((((Брони!$F$2:$F$500="Выдана")*NOW())+((Брони!$F$2:$F$500="Возвращена")*Брони!$E$2:$E$500))&gt;=A217)*Брони!$A$2:$A$500)</f>
        <v/>
      </c>
      <c r="P217" s="19">
        <f>SUMPRODUCT((Брони!$B$2:$B$500=B217)*(Брони!$D$2:$D$500=N217)*(((Брони!$F$2:$F$500="Выдана")+(Брони!$F$2:$F$500="Возвращена"))))</f>
        <v/>
      </c>
      <c r="Q217" s="10" t="n"/>
    </row>
    <row r="218">
      <c r="A218" s="11" t="n"/>
      <c r="B218" s="10" t="n"/>
      <c r="C218" s="10" t="n"/>
      <c r="D218" s="14" t="n"/>
      <c r="E218" s="10" t="n"/>
      <c r="F218" s="20">
        <f>IF(OR(A218="",B218=""),"",IF(OR(NOT(ISNUMBER(A218)),ISERROR(N218+O218+P218)),"Проверьте даты",IF(AND(N218&gt;0,P218&gt;1),"Дубль",IF(AND(N218&gt;0,O218&gt;0),O218,"Вне аренды"))))</f>
        <v/>
      </c>
      <c r="G218" s="12">
        <f>IF(ISNUMBER(F218),IFERROR(INDEX(Брони!$C$2:$C$500,MATCH(F218,Брони!$A$2:$A$500,0)),""),"")</f>
        <v/>
      </c>
      <c r="H218" s="10" t="n"/>
      <c r="I218" s="18" t="n"/>
      <c r="J218" s="12">
        <f>IF(AND(ISNUMBER(F218),I218&lt;&gt;""),IFERROR(IF(AND(INDEX(Брони!$F$2:$F$500,MATCH(F218,Брони!$A$2:$A$500,0))="Возвращена",I218&gt;INDEX(Брони!$E$2:$E$500,MATCH(F218,Брони!$A$2:$A$500,0))),"Да",""),""),"")</f>
        <v/>
      </c>
      <c r="K218" s="10" t="n"/>
      <c r="L218" s="14" t="n"/>
      <c r="M218" s="15">
        <f>IF(OR(A218="",B218=""),"",IF(AND(ISNUMBER(F218),H218&lt;&gt;"Компания"),D218+L218,0))</f>
        <v/>
      </c>
      <c r="N218" s="21">
        <f>SUMPRODUCT(MAX((Брони!$B$2:$B$500=B218)*((Брони!$F$2:$F$500="Выдана")+(Брони!$F$2:$F$500="Возвращена"))*(Брони!$D$2:$D$500&lt;=A218)*Брони!$D$2:$D$500))</f>
        <v/>
      </c>
      <c r="O218" s="19">
        <f>SUMPRODUCT((Брони!$B$2:$B$500=B218)*(Брони!$D$2:$D$500=N218)*((((Брони!$F$2:$F$500="Выдана")*NOW())+((Брони!$F$2:$F$500="Возвращена")*Брони!$E$2:$E$500))&gt;=A218)*Брони!$A$2:$A$500)</f>
        <v/>
      </c>
      <c r="P218" s="19">
        <f>SUMPRODUCT((Брони!$B$2:$B$500=B218)*(Брони!$D$2:$D$500=N218)*(((Брони!$F$2:$F$500="Выдана")+(Брони!$F$2:$F$500="Возвращена"))))</f>
        <v/>
      </c>
      <c r="Q218" s="10" t="n"/>
    </row>
    <row r="219">
      <c r="A219" s="11" t="n"/>
      <c r="B219" s="10" t="n"/>
      <c r="C219" s="10" t="n"/>
      <c r="D219" s="14" t="n"/>
      <c r="E219" s="10" t="n"/>
      <c r="F219" s="20">
        <f>IF(OR(A219="",B219=""),"",IF(OR(NOT(ISNUMBER(A219)),ISERROR(N219+O219+P219)),"Проверьте даты",IF(AND(N219&gt;0,P219&gt;1),"Дубль",IF(AND(N219&gt;0,O219&gt;0),O219,"Вне аренды"))))</f>
        <v/>
      </c>
      <c r="G219" s="12">
        <f>IF(ISNUMBER(F219),IFERROR(INDEX(Брони!$C$2:$C$500,MATCH(F219,Брони!$A$2:$A$500,0)),""),"")</f>
        <v/>
      </c>
      <c r="H219" s="10" t="n"/>
      <c r="I219" s="18" t="n"/>
      <c r="J219" s="12">
        <f>IF(AND(ISNUMBER(F219),I219&lt;&gt;""),IFERROR(IF(AND(INDEX(Брони!$F$2:$F$500,MATCH(F219,Брони!$A$2:$A$500,0))="Возвращена",I219&gt;INDEX(Брони!$E$2:$E$500,MATCH(F219,Брони!$A$2:$A$500,0))),"Да",""),""),"")</f>
        <v/>
      </c>
      <c r="K219" s="10" t="n"/>
      <c r="L219" s="14" t="n"/>
      <c r="M219" s="15">
        <f>IF(OR(A219="",B219=""),"",IF(AND(ISNUMBER(F219),H219&lt;&gt;"Компания"),D219+L219,0))</f>
        <v/>
      </c>
      <c r="N219" s="21">
        <f>SUMPRODUCT(MAX((Брони!$B$2:$B$500=B219)*((Брони!$F$2:$F$500="Выдана")+(Брони!$F$2:$F$500="Возвращена"))*(Брони!$D$2:$D$500&lt;=A219)*Брони!$D$2:$D$500))</f>
        <v/>
      </c>
      <c r="O219" s="19">
        <f>SUMPRODUCT((Брони!$B$2:$B$500=B219)*(Брони!$D$2:$D$500=N219)*((((Брони!$F$2:$F$500="Выдана")*NOW())+((Брони!$F$2:$F$500="Возвращена")*Брони!$E$2:$E$500))&gt;=A219)*Брони!$A$2:$A$500)</f>
        <v/>
      </c>
      <c r="P219" s="19">
        <f>SUMPRODUCT((Брони!$B$2:$B$500=B219)*(Брони!$D$2:$D$500=N219)*(((Брони!$F$2:$F$500="Выдана")+(Брони!$F$2:$F$500="Возвращена"))))</f>
        <v/>
      </c>
      <c r="Q219" s="10" t="n"/>
    </row>
    <row r="220">
      <c r="A220" s="11" t="n"/>
      <c r="B220" s="10" t="n"/>
      <c r="C220" s="10" t="n"/>
      <c r="D220" s="14" t="n"/>
      <c r="E220" s="10" t="n"/>
      <c r="F220" s="20">
        <f>IF(OR(A220="",B220=""),"",IF(OR(NOT(ISNUMBER(A220)),ISERROR(N220+O220+P220)),"Проверьте даты",IF(AND(N220&gt;0,P220&gt;1),"Дубль",IF(AND(N220&gt;0,O220&gt;0),O220,"Вне аренды"))))</f>
        <v/>
      </c>
      <c r="G220" s="12">
        <f>IF(ISNUMBER(F220),IFERROR(INDEX(Брони!$C$2:$C$500,MATCH(F220,Брони!$A$2:$A$500,0)),""),"")</f>
        <v/>
      </c>
      <c r="H220" s="10" t="n"/>
      <c r="I220" s="18" t="n"/>
      <c r="J220" s="12">
        <f>IF(AND(ISNUMBER(F220),I220&lt;&gt;""),IFERROR(IF(AND(INDEX(Брони!$F$2:$F$500,MATCH(F220,Брони!$A$2:$A$500,0))="Возвращена",I220&gt;INDEX(Брони!$E$2:$E$500,MATCH(F220,Брони!$A$2:$A$500,0))),"Да",""),""),"")</f>
        <v/>
      </c>
      <c r="K220" s="10" t="n"/>
      <c r="L220" s="14" t="n"/>
      <c r="M220" s="15">
        <f>IF(OR(A220="",B220=""),"",IF(AND(ISNUMBER(F220),H220&lt;&gt;"Компания"),D220+L220,0))</f>
        <v/>
      </c>
      <c r="N220" s="21">
        <f>SUMPRODUCT(MAX((Брони!$B$2:$B$500=B220)*((Брони!$F$2:$F$500="Выдана")+(Брони!$F$2:$F$500="Возвращена"))*(Брони!$D$2:$D$500&lt;=A220)*Брони!$D$2:$D$500))</f>
        <v/>
      </c>
      <c r="O220" s="19">
        <f>SUMPRODUCT((Брони!$B$2:$B$500=B220)*(Брони!$D$2:$D$500=N220)*((((Брони!$F$2:$F$500="Выдана")*NOW())+((Брони!$F$2:$F$500="Возвращена")*Брони!$E$2:$E$500))&gt;=A220)*Брони!$A$2:$A$500)</f>
        <v/>
      </c>
      <c r="P220" s="19">
        <f>SUMPRODUCT((Брони!$B$2:$B$500=B220)*(Брони!$D$2:$D$500=N220)*(((Брони!$F$2:$F$500="Выдана")+(Брони!$F$2:$F$500="Возвращена"))))</f>
        <v/>
      </c>
      <c r="Q220" s="10" t="n"/>
    </row>
    <row r="221">
      <c r="A221" s="11" t="n"/>
      <c r="B221" s="10" t="n"/>
      <c r="C221" s="10" t="n"/>
      <c r="D221" s="14" t="n"/>
      <c r="E221" s="10" t="n"/>
      <c r="F221" s="20">
        <f>IF(OR(A221="",B221=""),"",IF(OR(NOT(ISNUMBER(A221)),ISERROR(N221+O221+P221)),"Проверьте даты",IF(AND(N221&gt;0,P221&gt;1),"Дубль",IF(AND(N221&gt;0,O221&gt;0),O221,"Вне аренды"))))</f>
        <v/>
      </c>
      <c r="G221" s="12">
        <f>IF(ISNUMBER(F221),IFERROR(INDEX(Брони!$C$2:$C$500,MATCH(F221,Брони!$A$2:$A$500,0)),""),"")</f>
        <v/>
      </c>
      <c r="H221" s="10" t="n"/>
      <c r="I221" s="18" t="n"/>
      <c r="J221" s="12">
        <f>IF(AND(ISNUMBER(F221),I221&lt;&gt;""),IFERROR(IF(AND(INDEX(Брони!$F$2:$F$500,MATCH(F221,Брони!$A$2:$A$500,0))="Возвращена",I221&gt;INDEX(Брони!$E$2:$E$500,MATCH(F221,Брони!$A$2:$A$500,0))),"Да",""),""),"")</f>
        <v/>
      </c>
      <c r="K221" s="10" t="n"/>
      <c r="L221" s="14" t="n"/>
      <c r="M221" s="15">
        <f>IF(OR(A221="",B221=""),"",IF(AND(ISNUMBER(F221),H221&lt;&gt;"Компания"),D221+L221,0))</f>
        <v/>
      </c>
      <c r="N221" s="21">
        <f>SUMPRODUCT(MAX((Брони!$B$2:$B$500=B221)*((Брони!$F$2:$F$500="Выдана")+(Брони!$F$2:$F$500="Возвращена"))*(Брони!$D$2:$D$500&lt;=A221)*Брони!$D$2:$D$500))</f>
        <v/>
      </c>
      <c r="O221" s="19">
        <f>SUMPRODUCT((Брони!$B$2:$B$500=B221)*(Брони!$D$2:$D$500=N221)*((((Брони!$F$2:$F$500="Выдана")*NOW())+((Брони!$F$2:$F$500="Возвращена")*Брони!$E$2:$E$500))&gt;=A221)*Брони!$A$2:$A$500)</f>
        <v/>
      </c>
      <c r="P221" s="19">
        <f>SUMPRODUCT((Брони!$B$2:$B$500=B221)*(Брони!$D$2:$D$500=N221)*(((Брони!$F$2:$F$500="Выдана")+(Брони!$F$2:$F$500="Возвращена"))))</f>
        <v/>
      </c>
      <c r="Q221" s="10" t="n"/>
    </row>
    <row r="222">
      <c r="A222" s="11" t="n"/>
      <c r="B222" s="10" t="n"/>
      <c r="C222" s="10" t="n"/>
      <c r="D222" s="14" t="n"/>
      <c r="E222" s="10" t="n"/>
      <c r="F222" s="20">
        <f>IF(OR(A222="",B222=""),"",IF(OR(NOT(ISNUMBER(A222)),ISERROR(N222+O222+P222)),"Проверьте даты",IF(AND(N222&gt;0,P222&gt;1),"Дубль",IF(AND(N222&gt;0,O222&gt;0),O222,"Вне аренды"))))</f>
        <v/>
      </c>
      <c r="G222" s="12">
        <f>IF(ISNUMBER(F222),IFERROR(INDEX(Брони!$C$2:$C$500,MATCH(F222,Брони!$A$2:$A$500,0)),""),"")</f>
        <v/>
      </c>
      <c r="H222" s="10" t="n"/>
      <c r="I222" s="18" t="n"/>
      <c r="J222" s="12">
        <f>IF(AND(ISNUMBER(F222),I222&lt;&gt;""),IFERROR(IF(AND(INDEX(Брони!$F$2:$F$500,MATCH(F222,Брони!$A$2:$A$500,0))="Возвращена",I222&gt;INDEX(Брони!$E$2:$E$500,MATCH(F222,Брони!$A$2:$A$500,0))),"Да",""),""),"")</f>
        <v/>
      </c>
      <c r="K222" s="10" t="n"/>
      <c r="L222" s="14" t="n"/>
      <c r="M222" s="15">
        <f>IF(OR(A222="",B222=""),"",IF(AND(ISNUMBER(F222),H222&lt;&gt;"Компания"),D222+L222,0))</f>
        <v/>
      </c>
      <c r="N222" s="21">
        <f>SUMPRODUCT(MAX((Брони!$B$2:$B$500=B222)*((Брони!$F$2:$F$500="Выдана")+(Брони!$F$2:$F$500="Возвращена"))*(Брони!$D$2:$D$500&lt;=A222)*Брони!$D$2:$D$500))</f>
        <v/>
      </c>
      <c r="O222" s="19">
        <f>SUMPRODUCT((Брони!$B$2:$B$500=B222)*(Брони!$D$2:$D$500=N222)*((((Брони!$F$2:$F$500="Выдана")*NOW())+((Брони!$F$2:$F$500="Возвращена")*Брони!$E$2:$E$500))&gt;=A222)*Брони!$A$2:$A$500)</f>
        <v/>
      </c>
      <c r="P222" s="19">
        <f>SUMPRODUCT((Брони!$B$2:$B$500=B222)*(Брони!$D$2:$D$500=N222)*(((Брони!$F$2:$F$500="Выдана")+(Брони!$F$2:$F$500="Возвращена"))))</f>
        <v/>
      </c>
      <c r="Q222" s="10" t="n"/>
    </row>
    <row r="223">
      <c r="A223" s="11" t="n"/>
      <c r="B223" s="10" t="n"/>
      <c r="C223" s="10" t="n"/>
      <c r="D223" s="14" t="n"/>
      <c r="E223" s="10" t="n"/>
      <c r="F223" s="20">
        <f>IF(OR(A223="",B223=""),"",IF(OR(NOT(ISNUMBER(A223)),ISERROR(N223+O223+P223)),"Проверьте даты",IF(AND(N223&gt;0,P223&gt;1),"Дубль",IF(AND(N223&gt;0,O223&gt;0),O223,"Вне аренды"))))</f>
        <v/>
      </c>
      <c r="G223" s="12">
        <f>IF(ISNUMBER(F223),IFERROR(INDEX(Брони!$C$2:$C$500,MATCH(F223,Брони!$A$2:$A$500,0)),""),"")</f>
        <v/>
      </c>
      <c r="H223" s="10" t="n"/>
      <c r="I223" s="18" t="n"/>
      <c r="J223" s="12">
        <f>IF(AND(ISNUMBER(F223),I223&lt;&gt;""),IFERROR(IF(AND(INDEX(Брони!$F$2:$F$500,MATCH(F223,Брони!$A$2:$A$500,0))="Возвращена",I223&gt;INDEX(Брони!$E$2:$E$500,MATCH(F223,Брони!$A$2:$A$500,0))),"Да",""),""),"")</f>
        <v/>
      </c>
      <c r="K223" s="10" t="n"/>
      <c r="L223" s="14" t="n"/>
      <c r="M223" s="15">
        <f>IF(OR(A223="",B223=""),"",IF(AND(ISNUMBER(F223),H223&lt;&gt;"Компания"),D223+L223,0))</f>
        <v/>
      </c>
      <c r="N223" s="21">
        <f>SUMPRODUCT(MAX((Брони!$B$2:$B$500=B223)*((Брони!$F$2:$F$500="Выдана")+(Брони!$F$2:$F$500="Возвращена"))*(Брони!$D$2:$D$500&lt;=A223)*Брони!$D$2:$D$500))</f>
        <v/>
      </c>
      <c r="O223" s="19">
        <f>SUMPRODUCT((Брони!$B$2:$B$500=B223)*(Брони!$D$2:$D$500=N223)*((((Брони!$F$2:$F$500="Выдана")*NOW())+((Брони!$F$2:$F$500="Возвращена")*Брони!$E$2:$E$500))&gt;=A223)*Брони!$A$2:$A$500)</f>
        <v/>
      </c>
      <c r="P223" s="19">
        <f>SUMPRODUCT((Брони!$B$2:$B$500=B223)*(Брони!$D$2:$D$500=N223)*(((Брони!$F$2:$F$500="Выдана")+(Брони!$F$2:$F$500="Возвращена"))))</f>
        <v/>
      </c>
      <c r="Q223" s="10" t="n"/>
    </row>
    <row r="224">
      <c r="A224" s="11" t="n"/>
      <c r="B224" s="10" t="n"/>
      <c r="C224" s="10" t="n"/>
      <c r="D224" s="14" t="n"/>
      <c r="E224" s="10" t="n"/>
      <c r="F224" s="20">
        <f>IF(OR(A224="",B224=""),"",IF(OR(NOT(ISNUMBER(A224)),ISERROR(N224+O224+P224)),"Проверьте даты",IF(AND(N224&gt;0,P224&gt;1),"Дубль",IF(AND(N224&gt;0,O224&gt;0),O224,"Вне аренды"))))</f>
        <v/>
      </c>
      <c r="G224" s="12">
        <f>IF(ISNUMBER(F224),IFERROR(INDEX(Брони!$C$2:$C$500,MATCH(F224,Брони!$A$2:$A$500,0)),""),"")</f>
        <v/>
      </c>
      <c r="H224" s="10" t="n"/>
      <c r="I224" s="18" t="n"/>
      <c r="J224" s="12">
        <f>IF(AND(ISNUMBER(F224),I224&lt;&gt;""),IFERROR(IF(AND(INDEX(Брони!$F$2:$F$500,MATCH(F224,Брони!$A$2:$A$500,0))="Возвращена",I224&gt;INDEX(Брони!$E$2:$E$500,MATCH(F224,Брони!$A$2:$A$500,0))),"Да",""),""),"")</f>
        <v/>
      </c>
      <c r="K224" s="10" t="n"/>
      <c r="L224" s="14" t="n"/>
      <c r="M224" s="15">
        <f>IF(OR(A224="",B224=""),"",IF(AND(ISNUMBER(F224),H224&lt;&gt;"Компания"),D224+L224,0))</f>
        <v/>
      </c>
      <c r="N224" s="21">
        <f>SUMPRODUCT(MAX((Брони!$B$2:$B$500=B224)*((Брони!$F$2:$F$500="Выдана")+(Брони!$F$2:$F$500="Возвращена"))*(Брони!$D$2:$D$500&lt;=A224)*Брони!$D$2:$D$500))</f>
        <v/>
      </c>
      <c r="O224" s="19">
        <f>SUMPRODUCT((Брони!$B$2:$B$500=B224)*(Брони!$D$2:$D$500=N224)*((((Брони!$F$2:$F$500="Выдана")*NOW())+((Брони!$F$2:$F$500="Возвращена")*Брони!$E$2:$E$500))&gt;=A224)*Брони!$A$2:$A$500)</f>
        <v/>
      </c>
      <c r="P224" s="19">
        <f>SUMPRODUCT((Брони!$B$2:$B$500=B224)*(Брони!$D$2:$D$500=N224)*(((Брони!$F$2:$F$500="Выдана")+(Брони!$F$2:$F$500="Возвращена"))))</f>
        <v/>
      </c>
      <c r="Q224" s="10" t="n"/>
    </row>
    <row r="225">
      <c r="A225" s="11" t="n"/>
      <c r="B225" s="10" t="n"/>
      <c r="C225" s="10" t="n"/>
      <c r="D225" s="14" t="n"/>
      <c r="E225" s="10" t="n"/>
      <c r="F225" s="20">
        <f>IF(OR(A225="",B225=""),"",IF(OR(NOT(ISNUMBER(A225)),ISERROR(N225+O225+P225)),"Проверьте даты",IF(AND(N225&gt;0,P225&gt;1),"Дубль",IF(AND(N225&gt;0,O225&gt;0),O225,"Вне аренды"))))</f>
        <v/>
      </c>
      <c r="G225" s="12">
        <f>IF(ISNUMBER(F225),IFERROR(INDEX(Брони!$C$2:$C$500,MATCH(F225,Брони!$A$2:$A$500,0)),""),"")</f>
        <v/>
      </c>
      <c r="H225" s="10" t="n"/>
      <c r="I225" s="18" t="n"/>
      <c r="J225" s="12">
        <f>IF(AND(ISNUMBER(F225),I225&lt;&gt;""),IFERROR(IF(AND(INDEX(Брони!$F$2:$F$500,MATCH(F225,Брони!$A$2:$A$500,0))="Возвращена",I225&gt;INDEX(Брони!$E$2:$E$500,MATCH(F225,Брони!$A$2:$A$500,0))),"Да",""),""),"")</f>
        <v/>
      </c>
      <c r="K225" s="10" t="n"/>
      <c r="L225" s="14" t="n"/>
      <c r="M225" s="15">
        <f>IF(OR(A225="",B225=""),"",IF(AND(ISNUMBER(F225),H225&lt;&gt;"Компания"),D225+L225,0))</f>
        <v/>
      </c>
      <c r="N225" s="21">
        <f>SUMPRODUCT(MAX((Брони!$B$2:$B$500=B225)*((Брони!$F$2:$F$500="Выдана")+(Брони!$F$2:$F$500="Возвращена"))*(Брони!$D$2:$D$500&lt;=A225)*Брони!$D$2:$D$500))</f>
        <v/>
      </c>
      <c r="O225" s="19">
        <f>SUMPRODUCT((Брони!$B$2:$B$500=B225)*(Брони!$D$2:$D$500=N225)*((((Брони!$F$2:$F$500="Выдана")*NOW())+((Брони!$F$2:$F$500="Возвращена")*Брони!$E$2:$E$500))&gt;=A225)*Брони!$A$2:$A$500)</f>
        <v/>
      </c>
      <c r="P225" s="19">
        <f>SUMPRODUCT((Брони!$B$2:$B$500=B225)*(Брони!$D$2:$D$500=N225)*(((Брони!$F$2:$F$500="Выдана")+(Брони!$F$2:$F$500="Возвращена"))))</f>
        <v/>
      </c>
      <c r="Q225" s="10" t="n"/>
    </row>
    <row r="226">
      <c r="A226" s="11" t="n"/>
      <c r="B226" s="10" t="n"/>
      <c r="C226" s="10" t="n"/>
      <c r="D226" s="14" t="n"/>
      <c r="E226" s="10" t="n"/>
      <c r="F226" s="20">
        <f>IF(OR(A226="",B226=""),"",IF(OR(NOT(ISNUMBER(A226)),ISERROR(N226+O226+P226)),"Проверьте даты",IF(AND(N226&gt;0,P226&gt;1),"Дубль",IF(AND(N226&gt;0,O226&gt;0),O226,"Вне аренды"))))</f>
        <v/>
      </c>
      <c r="G226" s="12">
        <f>IF(ISNUMBER(F226),IFERROR(INDEX(Брони!$C$2:$C$500,MATCH(F226,Брони!$A$2:$A$500,0)),""),"")</f>
        <v/>
      </c>
      <c r="H226" s="10" t="n"/>
      <c r="I226" s="18" t="n"/>
      <c r="J226" s="12">
        <f>IF(AND(ISNUMBER(F226),I226&lt;&gt;""),IFERROR(IF(AND(INDEX(Брони!$F$2:$F$500,MATCH(F226,Брони!$A$2:$A$500,0))="Возвращена",I226&gt;INDEX(Брони!$E$2:$E$500,MATCH(F226,Брони!$A$2:$A$500,0))),"Да",""),""),"")</f>
        <v/>
      </c>
      <c r="K226" s="10" t="n"/>
      <c r="L226" s="14" t="n"/>
      <c r="M226" s="15">
        <f>IF(OR(A226="",B226=""),"",IF(AND(ISNUMBER(F226),H226&lt;&gt;"Компания"),D226+L226,0))</f>
        <v/>
      </c>
      <c r="N226" s="21">
        <f>SUMPRODUCT(MAX((Брони!$B$2:$B$500=B226)*((Брони!$F$2:$F$500="Выдана")+(Брони!$F$2:$F$500="Возвращена"))*(Брони!$D$2:$D$500&lt;=A226)*Брони!$D$2:$D$500))</f>
        <v/>
      </c>
      <c r="O226" s="19">
        <f>SUMPRODUCT((Брони!$B$2:$B$500=B226)*(Брони!$D$2:$D$500=N226)*((((Брони!$F$2:$F$500="Выдана")*NOW())+((Брони!$F$2:$F$500="Возвращена")*Брони!$E$2:$E$500))&gt;=A226)*Брони!$A$2:$A$500)</f>
        <v/>
      </c>
      <c r="P226" s="19">
        <f>SUMPRODUCT((Брони!$B$2:$B$500=B226)*(Брони!$D$2:$D$500=N226)*(((Брони!$F$2:$F$500="Выдана")+(Брони!$F$2:$F$500="Возвращена"))))</f>
        <v/>
      </c>
      <c r="Q226" s="10" t="n"/>
    </row>
    <row r="227">
      <c r="A227" s="11" t="n"/>
      <c r="B227" s="10" t="n"/>
      <c r="C227" s="10" t="n"/>
      <c r="D227" s="14" t="n"/>
      <c r="E227" s="10" t="n"/>
      <c r="F227" s="20">
        <f>IF(OR(A227="",B227=""),"",IF(OR(NOT(ISNUMBER(A227)),ISERROR(N227+O227+P227)),"Проверьте даты",IF(AND(N227&gt;0,P227&gt;1),"Дубль",IF(AND(N227&gt;0,O227&gt;0),O227,"Вне аренды"))))</f>
        <v/>
      </c>
      <c r="G227" s="12">
        <f>IF(ISNUMBER(F227),IFERROR(INDEX(Брони!$C$2:$C$500,MATCH(F227,Брони!$A$2:$A$500,0)),""),"")</f>
        <v/>
      </c>
      <c r="H227" s="10" t="n"/>
      <c r="I227" s="18" t="n"/>
      <c r="J227" s="12">
        <f>IF(AND(ISNUMBER(F227),I227&lt;&gt;""),IFERROR(IF(AND(INDEX(Брони!$F$2:$F$500,MATCH(F227,Брони!$A$2:$A$500,0))="Возвращена",I227&gt;INDEX(Брони!$E$2:$E$500,MATCH(F227,Брони!$A$2:$A$500,0))),"Да",""),""),"")</f>
        <v/>
      </c>
      <c r="K227" s="10" t="n"/>
      <c r="L227" s="14" t="n"/>
      <c r="M227" s="15">
        <f>IF(OR(A227="",B227=""),"",IF(AND(ISNUMBER(F227),H227&lt;&gt;"Компания"),D227+L227,0))</f>
        <v/>
      </c>
      <c r="N227" s="21">
        <f>SUMPRODUCT(MAX((Брони!$B$2:$B$500=B227)*((Брони!$F$2:$F$500="Выдана")+(Брони!$F$2:$F$500="Возвращена"))*(Брони!$D$2:$D$500&lt;=A227)*Брони!$D$2:$D$500))</f>
        <v/>
      </c>
      <c r="O227" s="19">
        <f>SUMPRODUCT((Брони!$B$2:$B$500=B227)*(Брони!$D$2:$D$500=N227)*((((Брони!$F$2:$F$500="Выдана")*NOW())+((Брони!$F$2:$F$500="Возвращена")*Брони!$E$2:$E$500))&gt;=A227)*Брони!$A$2:$A$500)</f>
        <v/>
      </c>
      <c r="P227" s="19">
        <f>SUMPRODUCT((Брони!$B$2:$B$500=B227)*(Брони!$D$2:$D$500=N227)*(((Брони!$F$2:$F$500="Выдана")+(Брони!$F$2:$F$500="Возвращена"))))</f>
        <v/>
      </c>
      <c r="Q227" s="10" t="n"/>
    </row>
    <row r="228">
      <c r="A228" s="11" t="n"/>
      <c r="B228" s="10" t="n"/>
      <c r="C228" s="10" t="n"/>
      <c r="D228" s="14" t="n"/>
      <c r="E228" s="10" t="n"/>
      <c r="F228" s="20">
        <f>IF(OR(A228="",B228=""),"",IF(OR(NOT(ISNUMBER(A228)),ISERROR(N228+O228+P228)),"Проверьте даты",IF(AND(N228&gt;0,P228&gt;1),"Дубль",IF(AND(N228&gt;0,O228&gt;0),O228,"Вне аренды"))))</f>
        <v/>
      </c>
      <c r="G228" s="12">
        <f>IF(ISNUMBER(F228),IFERROR(INDEX(Брони!$C$2:$C$500,MATCH(F228,Брони!$A$2:$A$500,0)),""),"")</f>
        <v/>
      </c>
      <c r="H228" s="10" t="n"/>
      <c r="I228" s="18" t="n"/>
      <c r="J228" s="12">
        <f>IF(AND(ISNUMBER(F228),I228&lt;&gt;""),IFERROR(IF(AND(INDEX(Брони!$F$2:$F$500,MATCH(F228,Брони!$A$2:$A$500,0))="Возвращена",I228&gt;INDEX(Брони!$E$2:$E$500,MATCH(F228,Брони!$A$2:$A$500,0))),"Да",""),""),"")</f>
        <v/>
      </c>
      <c r="K228" s="10" t="n"/>
      <c r="L228" s="14" t="n"/>
      <c r="M228" s="15">
        <f>IF(OR(A228="",B228=""),"",IF(AND(ISNUMBER(F228),H228&lt;&gt;"Компания"),D228+L228,0))</f>
        <v/>
      </c>
      <c r="N228" s="21">
        <f>SUMPRODUCT(MAX((Брони!$B$2:$B$500=B228)*((Брони!$F$2:$F$500="Выдана")+(Брони!$F$2:$F$500="Возвращена"))*(Брони!$D$2:$D$500&lt;=A228)*Брони!$D$2:$D$500))</f>
        <v/>
      </c>
      <c r="O228" s="19">
        <f>SUMPRODUCT((Брони!$B$2:$B$500=B228)*(Брони!$D$2:$D$500=N228)*((((Брони!$F$2:$F$500="Выдана")*NOW())+((Брони!$F$2:$F$500="Возвращена")*Брони!$E$2:$E$500))&gt;=A228)*Брони!$A$2:$A$500)</f>
        <v/>
      </c>
      <c r="P228" s="19">
        <f>SUMPRODUCT((Брони!$B$2:$B$500=B228)*(Брони!$D$2:$D$500=N228)*(((Брони!$F$2:$F$500="Выдана")+(Брони!$F$2:$F$500="Возвращена"))))</f>
        <v/>
      </c>
      <c r="Q228" s="10" t="n"/>
    </row>
    <row r="229">
      <c r="A229" s="11" t="n"/>
      <c r="B229" s="10" t="n"/>
      <c r="C229" s="10" t="n"/>
      <c r="D229" s="14" t="n"/>
      <c r="E229" s="10" t="n"/>
      <c r="F229" s="20">
        <f>IF(OR(A229="",B229=""),"",IF(OR(NOT(ISNUMBER(A229)),ISERROR(N229+O229+P229)),"Проверьте даты",IF(AND(N229&gt;0,P229&gt;1),"Дубль",IF(AND(N229&gt;0,O229&gt;0),O229,"Вне аренды"))))</f>
        <v/>
      </c>
      <c r="G229" s="12">
        <f>IF(ISNUMBER(F229),IFERROR(INDEX(Брони!$C$2:$C$500,MATCH(F229,Брони!$A$2:$A$500,0)),""),"")</f>
        <v/>
      </c>
      <c r="H229" s="10" t="n"/>
      <c r="I229" s="18" t="n"/>
      <c r="J229" s="12">
        <f>IF(AND(ISNUMBER(F229),I229&lt;&gt;""),IFERROR(IF(AND(INDEX(Брони!$F$2:$F$500,MATCH(F229,Брони!$A$2:$A$500,0))="Возвращена",I229&gt;INDEX(Брони!$E$2:$E$500,MATCH(F229,Брони!$A$2:$A$500,0))),"Да",""),""),"")</f>
        <v/>
      </c>
      <c r="K229" s="10" t="n"/>
      <c r="L229" s="14" t="n"/>
      <c r="M229" s="15">
        <f>IF(OR(A229="",B229=""),"",IF(AND(ISNUMBER(F229),H229&lt;&gt;"Компания"),D229+L229,0))</f>
        <v/>
      </c>
      <c r="N229" s="21">
        <f>SUMPRODUCT(MAX((Брони!$B$2:$B$500=B229)*((Брони!$F$2:$F$500="Выдана")+(Брони!$F$2:$F$500="Возвращена"))*(Брони!$D$2:$D$500&lt;=A229)*Брони!$D$2:$D$500))</f>
        <v/>
      </c>
      <c r="O229" s="19">
        <f>SUMPRODUCT((Брони!$B$2:$B$500=B229)*(Брони!$D$2:$D$500=N229)*((((Брони!$F$2:$F$500="Выдана")*NOW())+((Брони!$F$2:$F$500="Возвращена")*Брони!$E$2:$E$500))&gt;=A229)*Брони!$A$2:$A$500)</f>
        <v/>
      </c>
      <c r="P229" s="19">
        <f>SUMPRODUCT((Брони!$B$2:$B$500=B229)*(Брони!$D$2:$D$500=N229)*(((Брони!$F$2:$F$500="Выдана")+(Брони!$F$2:$F$500="Возвращена"))))</f>
        <v/>
      </c>
      <c r="Q229" s="10" t="n"/>
    </row>
    <row r="230">
      <c r="A230" s="11" t="n"/>
      <c r="B230" s="10" t="n"/>
      <c r="C230" s="10" t="n"/>
      <c r="D230" s="14" t="n"/>
      <c r="E230" s="10" t="n"/>
      <c r="F230" s="20">
        <f>IF(OR(A230="",B230=""),"",IF(OR(NOT(ISNUMBER(A230)),ISERROR(N230+O230+P230)),"Проверьте даты",IF(AND(N230&gt;0,P230&gt;1),"Дубль",IF(AND(N230&gt;0,O230&gt;0),O230,"Вне аренды"))))</f>
        <v/>
      </c>
      <c r="G230" s="12">
        <f>IF(ISNUMBER(F230),IFERROR(INDEX(Брони!$C$2:$C$500,MATCH(F230,Брони!$A$2:$A$500,0)),""),"")</f>
        <v/>
      </c>
      <c r="H230" s="10" t="n"/>
      <c r="I230" s="18" t="n"/>
      <c r="J230" s="12">
        <f>IF(AND(ISNUMBER(F230),I230&lt;&gt;""),IFERROR(IF(AND(INDEX(Брони!$F$2:$F$500,MATCH(F230,Брони!$A$2:$A$500,0))="Возвращена",I230&gt;INDEX(Брони!$E$2:$E$500,MATCH(F230,Брони!$A$2:$A$500,0))),"Да",""),""),"")</f>
        <v/>
      </c>
      <c r="K230" s="10" t="n"/>
      <c r="L230" s="14" t="n"/>
      <c r="M230" s="15">
        <f>IF(OR(A230="",B230=""),"",IF(AND(ISNUMBER(F230),H230&lt;&gt;"Компания"),D230+L230,0))</f>
        <v/>
      </c>
      <c r="N230" s="21">
        <f>SUMPRODUCT(MAX((Брони!$B$2:$B$500=B230)*((Брони!$F$2:$F$500="Выдана")+(Брони!$F$2:$F$500="Возвращена"))*(Брони!$D$2:$D$500&lt;=A230)*Брони!$D$2:$D$500))</f>
        <v/>
      </c>
      <c r="O230" s="19">
        <f>SUMPRODUCT((Брони!$B$2:$B$500=B230)*(Брони!$D$2:$D$500=N230)*((((Брони!$F$2:$F$500="Выдана")*NOW())+((Брони!$F$2:$F$500="Возвращена")*Брони!$E$2:$E$500))&gt;=A230)*Брони!$A$2:$A$500)</f>
        <v/>
      </c>
      <c r="P230" s="19">
        <f>SUMPRODUCT((Брони!$B$2:$B$500=B230)*(Брони!$D$2:$D$500=N230)*(((Брони!$F$2:$F$500="Выдана")+(Брони!$F$2:$F$500="Возвращена"))))</f>
        <v/>
      </c>
      <c r="Q230" s="10" t="n"/>
    </row>
    <row r="231">
      <c r="A231" s="11" t="n"/>
      <c r="B231" s="10" t="n"/>
      <c r="C231" s="10" t="n"/>
      <c r="D231" s="14" t="n"/>
      <c r="E231" s="10" t="n"/>
      <c r="F231" s="20">
        <f>IF(OR(A231="",B231=""),"",IF(OR(NOT(ISNUMBER(A231)),ISERROR(N231+O231+P231)),"Проверьте даты",IF(AND(N231&gt;0,P231&gt;1),"Дубль",IF(AND(N231&gt;0,O231&gt;0),O231,"Вне аренды"))))</f>
        <v/>
      </c>
      <c r="G231" s="12">
        <f>IF(ISNUMBER(F231),IFERROR(INDEX(Брони!$C$2:$C$500,MATCH(F231,Брони!$A$2:$A$500,0)),""),"")</f>
        <v/>
      </c>
      <c r="H231" s="10" t="n"/>
      <c r="I231" s="18" t="n"/>
      <c r="J231" s="12">
        <f>IF(AND(ISNUMBER(F231),I231&lt;&gt;""),IFERROR(IF(AND(INDEX(Брони!$F$2:$F$500,MATCH(F231,Брони!$A$2:$A$500,0))="Возвращена",I231&gt;INDEX(Брони!$E$2:$E$500,MATCH(F231,Брони!$A$2:$A$500,0))),"Да",""),""),"")</f>
        <v/>
      </c>
      <c r="K231" s="10" t="n"/>
      <c r="L231" s="14" t="n"/>
      <c r="M231" s="15">
        <f>IF(OR(A231="",B231=""),"",IF(AND(ISNUMBER(F231),H231&lt;&gt;"Компания"),D231+L231,0))</f>
        <v/>
      </c>
      <c r="N231" s="21">
        <f>SUMPRODUCT(MAX((Брони!$B$2:$B$500=B231)*((Брони!$F$2:$F$500="Выдана")+(Брони!$F$2:$F$500="Возвращена"))*(Брони!$D$2:$D$500&lt;=A231)*Брони!$D$2:$D$500))</f>
        <v/>
      </c>
      <c r="O231" s="19">
        <f>SUMPRODUCT((Брони!$B$2:$B$500=B231)*(Брони!$D$2:$D$500=N231)*((((Брони!$F$2:$F$500="Выдана")*NOW())+((Брони!$F$2:$F$500="Возвращена")*Брони!$E$2:$E$500))&gt;=A231)*Брони!$A$2:$A$500)</f>
        <v/>
      </c>
      <c r="P231" s="19">
        <f>SUMPRODUCT((Брони!$B$2:$B$500=B231)*(Брони!$D$2:$D$500=N231)*(((Брони!$F$2:$F$500="Выдана")+(Брони!$F$2:$F$500="Возвращена"))))</f>
        <v/>
      </c>
      <c r="Q231" s="10" t="n"/>
    </row>
    <row r="232">
      <c r="A232" s="11" t="n"/>
      <c r="B232" s="10" t="n"/>
      <c r="C232" s="10" t="n"/>
      <c r="D232" s="14" t="n"/>
      <c r="E232" s="10" t="n"/>
      <c r="F232" s="20">
        <f>IF(OR(A232="",B232=""),"",IF(OR(NOT(ISNUMBER(A232)),ISERROR(N232+O232+P232)),"Проверьте даты",IF(AND(N232&gt;0,P232&gt;1),"Дубль",IF(AND(N232&gt;0,O232&gt;0),O232,"Вне аренды"))))</f>
        <v/>
      </c>
      <c r="G232" s="12">
        <f>IF(ISNUMBER(F232),IFERROR(INDEX(Брони!$C$2:$C$500,MATCH(F232,Брони!$A$2:$A$500,0)),""),"")</f>
        <v/>
      </c>
      <c r="H232" s="10" t="n"/>
      <c r="I232" s="18" t="n"/>
      <c r="J232" s="12">
        <f>IF(AND(ISNUMBER(F232),I232&lt;&gt;""),IFERROR(IF(AND(INDEX(Брони!$F$2:$F$500,MATCH(F232,Брони!$A$2:$A$500,0))="Возвращена",I232&gt;INDEX(Брони!$E$2:$E$500,MATCH(F232,Брони!$A$2:$A$500,0))),"Да",""),""),"")</f>
        <v/>
      </c>
      <c r="K232" s="10" t="n"/>
      <c r="L232" s="14" t="n"/>
      <c r="M232" s="15">
        <f>IF(OR(A232="",B232=""),"",IF(AND(ISNUMBER(F232),H232&lt;&gt;"Компания"),D232+L232,0))</f>
        <v/>
      </c>
      <c r="N232" s="21">
        <f>SUMPRODUCT(MAX((Брони!$B$2:$B$500=B232)*((Брони!$F$2:$F$500="Выдана")+(Брони!$F$2:$F$500="Возвращена"))*(Брони!$D$2:$D$500&lt;=A232)*Брони!$D$2:$D$500))</f>
        <v/>
      </c>
      <c r="O232" s="19">
        <f>SUMPRODUCT((Брони!$B$2:$B$500=B232)*(Брони!$D$2:$D$500=N232)*((((Брони!$F$2:$F$500="Выдана")*NOW())+((Брони!$F$2:$F$500="Возвращена")*Брони!$E$2:$E$500))&gt;=A232)*Брони!$A$2:$A$500)</f>
        <v/>
      </c>
      <c r="P232" s="19">
        <f>SUMPRODUCT((Брони!$B$2:$B$500=B232)*(Брони!$D$2:$D$500=N232)*(((Брони!$F$2:$F$500="Выдана")+(Брони!$F$2:$F$500="Возвращена"))))</f>
        <v/>
      </c>
      <c r="Q232" s="10" t="n"/>
    </row>
    <row r="233">
      <c r="A233" s="11" t="n"/>
      <c r="B233" s="10" t="n"/>
      <c r="C233" s="10" t="n"/>
      <c r="D233" s="14" t="n"/>
      <c r="E233" s="10" t="n"/>
      <c r="F233" s="20">
        <f>IF(OR(A233="",B233=""),"",IF(OR(NOT(ISNUMBER(A233)),ISERROR(N233+O233+P233)),"Проверьте даты",IF(AND(N233&gt;0,P233&gt;1),"Дубль",IF(AND(N233&gt;0,O233&gt;0),O233,"Вне аренды"))))</f>
        <v/>
      </c>
      <c r="G233" s="12">
        <f>IF(ISNUMBER(F233),IFERROR(INDEX(Брони!$C$2:$C$500,MATCH(F233,Брони!$A$2:$A$500,0)),""),"")</f>
        <v/>
      </c>
      <c r="H233" s="10" t="n"/>
      <c r="I233" s="18" t="n"/>
      <c r="J233" s="12">
        <f>IF(AND(ISNUMBER(F233),I233&lt;&gt;""),IFERROR(IF(AND(INDEX(Брони!$F$2:$F$500,MATCH(F233,Брони!$A$2:$A$500,0))="Возвращена",I233&gt;INDEX(Брони!$E$2:$E$500,MATCH(F233,Брони!$A$2:$A$500,0))),"Да",""),""),"")</f>
        <v/>
      </c>
      <c r="K233" s="10" t="n"/>
      <c r="L233" s="14" t="n"/>
      <c r="M233" s="15">
        <f>IF(OR(A233="",B233=""),"",IF(AND(ISNUMBER(F233),H233&lt;&gt;"Компания"),D233+L233,0))</f>
        <v/>
      </c>
      <c r="N233" s="21">
        <f>SUMPRODUCT(MAX((Брони!$B$2:$B$500=B233)*((Брони!$F$2:$F$500="Выдана")+(Брони!$F$2:$F$500="Возвращена"))*(Брони!$D$2:$D$500&lt;=A233)*Брони!$D$2:$D$500))</f>
        <v/>
      </c>
      <c r="O233" s="19">
        <f>SUMPRODUCT((Брони!$B$2:$B$500=B233)*(Брони!$D$2:$D$500=N233)*((((Брони!$F$2:$F$500="Выдана")*NOW())+((Брони!$F$2:$F$500="Возвращена")*Брони!$E$2:$E$500))&gt;=A233)*Брони!$A$2:$A$500)</f>
        <v/>
      </c>
      <c r="P233" s="19">
        <f>SUMPRODUCT((Брони!$B$2:$B$500=B233)*(Брони!$D$2:$D$500=N233)*(((Брони!$F$2:$F$500="Выдана")+(Брони!$F$2:$F$500="Возвращена"))))</f>
        <v/>
      </c>
      <c r="Q233" s="10" t="n"/>
    </row>
    <row r="234">
      <c r="A234" s="11" t="n"/>
      <c r="B234" s="10" t="n"/>
      <c r="C234" s="10" t="n"/>
      <c r="D234" s="14" t="n"/>
      <c r="E234" s="10" t="n"/>
      <c r="F234" s="20">
        <f>IF(OR(A234="",B234=""),"",IF(OR(NOT(ISNUMBER(A234)),ISERROR(N234+O234+P234)),"Проверьте даты",IF(AND(N234&gt;0,P234&gt;1),"Дубль",IF(AND(N234&gt;0,O234&gt;0),O234,"Вне аренды"))))</f>
        <v/>
      </c>
      <c r="G234" s="12">
        <f>IF(ISNUMBER(F234),IFERROR(INDEX(Брони!$C$2:$C$500,MATCH(F234,Брони!$A$2:$A$500,0)),""),"")</f>
        <v/>
      </c>
      <c r="H234" s="10" t="n"/>
      <c r="I234" s="18" t="n"/>
      <c r="J234" s="12">
        <f>IF(AND(ISNUMBER(F234),I234&lt;&gt;""),IFERROR(IF(AND(INDEX(Брони!$F$2:$F$500,MATCH(F234,Брони!$A$2:$A$500,0))="Возвращена",I234&gt;INDEX(Брони!$E$2:$E$500,MATCH(F234,Брони!$A$2:$A$500,0))),"Да",""),""),"")</f>
        <v/>
      </c>
      <c r="K234" s="10" t="n"/>
      <c r="L234" s="14" t="n"/>
      <c r="M234" s="15">
        <f>IF(OR(A234="",B234=""),"",IF(AND(ISNUMBER(F234),H234&lt;&gt;"Компания"),D234+L234,0))</f>
        <v/>
      </c>
      <c r="N234" s="21">
        <f>SUMPRODUCT(MAX((Брони!$B$2:$B$500=B234)*((Брони!$F$2:$F$500="Выдана")+(Брони!$F$2:$F$500="Возвращена"))*(Брони!$D$2:$D$500&lt;=A234)*Брони!$D$2:$D$500))</f>
        <v/>
      </c>
      <c r="O234" s="19">
        <f>SUMPRODUCT((Брони!$B$2:$B$500=B234)*(Брони!$D$2:$D$500=N234)*((((Брони!$F$2:$F$500="Выдана")*NOW())+((Брони!$F$2:$F$500="Возвращена")*Брони!$E$2:$E$500))&gt;=A234)*Брони!$A$2:$A$500)</f>
        <v/>
      </c>
      <c r="P234" s="19">
        <f>SUMPRODUCT((Брони!$B$2:$B$500=B234)*(Брони!$D$2:$D$500=N234)*(((Брони!$F$2:$F$500="Выдана")+(Брони!$F$2:$F$500="Возвращена"))))</f>
        <v/>
      </c>
      <c r="Q234" s="10" t="n"/>
    </row>
    <row r="235">
      <c r="A235" s="11" t="n"/>
      <c r="B235" s="10" t="n"/>
      <c r="C235" s="10" t="n"/>
      <c r="D235" s="14" t="n"/>
      <c r="E235" s="10" t="n"/>
      <c r="F235" s="20">
        <f>IF(OR(A235="",B235=""),"",IF(OR(NOT(ISNUMBER(A235)),ISERROR(N235+O235+P235)),"Проверьте даты",IF(AND(N235&gt;0,P235&gt;1),"Дубль",IF(AND(N235&gt;0,O235&gt;0),O235,"Вне аренды"))))</f>
        <v/>
      </c>
      <c r="G235" s="12">
        <f>IF(ISNUMBER(F235),IFERROR(INDEX(Брони!$C$2:$C$500,MATCH(F235,Брони!$A$2:$A$500,0)),""),"")</f>
        <v/>
      </c>
      <c r="H235" s="10" t="n"/>
      <c r="I235" s="18" t="n"/>
      <c r="J235" s="12">
        <f>IF(AND(ISNUMBER(F235),I235&lt;&gt;""),IFERROR(IF(AND(INDEX(Брони!$F$2:$F$500,MATCH(F235,Брони!$A$2:$A$500,0))="Возвращена",I235&gt;INDEX(Брони!$E$2:$E$500,MATCH(F235,Брони!$A$2:$A$500,0))),"Да",""),""),"")</f>
        <v/>
      </c>
      <c r="K235" s="10" t="n"/>
      <c r="L235" s="14" t="n"/>
      <c r="M235" s="15">
        <f>IF(OR(A235="",B235=""),"",IF(AND(ISNUMBER(F235),H235&lt;&gt;"Компания"),D235+L235,0))</f>
        <v/>
      </c>
      <c r="N235" s="21">
        <f>SUMPRODUCT(MAX((Брони!$B$2:$B$500=B235)*((Брони!$F$2:$F$500="Выдана")+(Брони!$F$2:$F$500="Возвращена"))*(Брони!$D$2:$D$500&lt;=A235)*Брони!$D$2:$D$500))</f>
        <v/>
      </c>
      <c r="O235" s="19">
        <f>SUMPRODUCT((Брони!$B$2:$B$500=B235)*(Брони!$D$2:$D$500=N235)*((((Брони!$F$2:$F$500="Выдана")*NOW())+((Брони!$F$2:$F$500="Возвращена")*Брони!$E$2:$E$500))&gt;=A235)*Брони!$A$2:$A$500)</f>
        <v/>
      </c>
      <c r="P235" s="19">
        <f>SUMPRODUCT((Брони!$B$2:$B$500=B235)*(Брони!$D$2:$D$500=N235)*(((Брони!$F$2:$F$500="Выдана")+(Брони!$F$2:$F$500="Возвращена"))))</f>
        <v/>
      </c>
      <c r="Q235" s="10" t="n"/>
    </row>
    <row r="236">
      <c r="A236" s="11" t="n"/>
      <c r="B236" s="10" t="n"/>
      <c r="C236" s="10" t="n"/>
      <c r="D236" s="14" t="n"/>
      <c r="E236" s="10" t="n"/>
      <c r="F236" s="20">
        <f>IF(OR(A236="",B236=""),"",IF(OR(NOT(ISNUMBER(A236)),ISERROR(N236+O236+P236)),"Проверьте даты",IF(AND(N236&gt;0,P236&gt;1),"Дубль",IF(AND(N236&gt;0,O236&gt;0),O236,"Вне аренды"))))</f>
        <v/>
      </c>
      <c r="G236" s="12">
        <f>IF(ISNUMBER(F236),IFERROR(INDEX(Брони!$C$2:$C$500,MATCH(F236,Брони!$A$2:$A$500,0)),""),"")</f>
        <v/>
      </c>
      <c r="H236" s="10" t="n"/>
      <c r="I236" s="18" t="n"/>
      <c r="J236" s="12">
        <f>IF(AND(ISNUMBER(F236),I236&lt;&gt;""),IFERROR(IF(AND(INDEX(Брони!$F$2:$F$500,MATCH(F236,Брони!$A$2:$A$500,0))="Возвращена",I236&gt;INDEX(Брони!$E$2:$E$500,MATCH(F236,Брони!$A$2:$A$500,0))),"Да",""),""),"")</f>
        <v/>
      </c>
      <c r="K236" s="10" t="n"/>
      <c r="L236" s="14" t="n"/>
      <c r="M236" s="15">
        <f>IF(OR(A236="",B236=""),"",IF(AND(ISNUMBER(F236),H236&lt;&gt;"Компания"),D236+L236,0))</f>
        <v/>
      </c>
      <c r="N236" s="21">
        <f>SUMPRODUCT(MAX((Брони!$B$2:$B$500=B236)*((Брони!$F$2:$F$500="Выдана")+(Брони!$F$2:$F$500="Возвращена"))*(Брони!$D$2:$D$500&lt;=A236)*Брони!$D$2:$D$500))</f>
        <v/>
      </c>
      <c r="O236" s="19">
        <f>SUMPRODUCT((Брони!$B$2:$B$500=B236)*(Брони!$D$2:$D$500=N236)*((((Брони!$F$2:$F$500="Выдана")*NOW())+((Брони!$F$2:$F$500="Возвращена")*Брони!$E$2:$E$500))&gt;=A236)*Брони!$A$2:$A$500)</f>
        <v/>
      </c>
      <c r="P236" s="19">
        <f>SUMPRODUCT((Брони!$B$2:$B$500=B236)*(Брони!$D$2:$D$500=N236)*(((Брони!$F$2:$F$500="Выдана")+(Брони!$F$2:$F$500="Возвращена"))))</f>
        <v/>
      </c>
      <c r="Q236" s="10" t="n"/>
    </row>
    <row r="237">
      <c r="A237" s="11" t="n"/>
      <c r="B237" s="10" t="n"/>
      <c r="C237" s="10" t="n"/>
      <c r="D237" s="14" t="n"/>
      <c r="E237" s="10" t="n"/>
      <c r="F237" s="20">
        <f>IF(OR(A237="",B237=""),"",IF(OR(NOT(ISNUMBER(A237)),ISERROR(N237+O237+P237)),"Проверьте даты",IF(AND(N237&gt;0,P237&gt;1),"Дубль",IF(AND(N237&gt;0,O237&gt;0),O237,"Вне аренды"))))</f>
        <v/>
      </c>
      <c r="G237" s="12">
        <f>IF(ISNUMBER(F237),IFERROR(INDEX(Брони!$C$2:$C$500,MATCH(F237,Брони!$A$2:$A$500,0)),""),"")</f>
        <v/>
      </c>
      <c r="H237" s="10" t="n"/>
      <c r="I237" s="18" t="n"/>
      <c r="J237" s="12">
        <f>IF(AND(ISNUMBER(F237),I237&lt;&gt;""),IFERROR(IF(AND(INDEX(Брони!$F$2:$F$500,MATCH(F237,Брони!$A$2:$A$500,0))="Возвращена",I237&gt;INDEX(Брони!$E$2:$E$500,MATCH(F237,Брони!$A$2:$A$500,0))),"Да",""),""),"")</f>
        <v/>
      </c>
      <c r="K237" s="10" t="n"/>
      <c r="L237" s="14" t="n"/>
      <c r="M237" s="15">
        <f>IF(OR(A237="",B237=""),"",IF(AND(ISNUMBER(F237),H237&lt;&gt;"Компания"),D237+L237,0))</f>
        <v/>
      </c>
      <c r="N237" s="21">
        <f>SUMPRODUCT(MAX((Брони!$B$2:$B$500=B237)*((Брони!$F$2:$F$500="Выдана")+(Брони!$F$2:$F$500="Возвращена"))*(Брони!$D$2:$D$500&lt;=A237)*Брони!$D$2:$D$500))</f>
        <v/>
      </c>
      <c r="O237" s="19">
        <f>SUMPRODUCT((Брони!$B$2:$B$500=B237)*(Брони!$D$2:$D$500=N237)*((((Брони!$F$2:$F$500="Выдана")*NOW())+((Брони!$F$2:$F$500="Возвращена")*Брони!$E$2:$E$500))&gt;=A237)*Брони!$A$2:$A$500)</f>
        <v/>
      </c>
      <c r="P237" s="19">
        <f>SUMPRODUCT((Брони!$B$2:$B$500=B237)*(Брони!$D$2:$D$500=N237)*(((Брони!$F$2:$F$500="Выдана")+(Брони!$F$2:$F$500="Возвращена"))))</f>
        <v/>
      </c>
      <c r="Q237" s="10" t="n"/>
    </row>
    <row r="238">
      <c r="A238" s="11" t="n"/>
      <c r="B238" s="10" t="n"/>
      <c r="C238" s="10" t="n"/>
      <c r="D238" s="14" t="n"/>
      <c r="E238" s="10" t="n"/>
      <c r="F238" s="20">
        <f>IF(OR(A238="",B238=""),"",IF(OR(NOT(ISNUMBER(A238)),ISERROR(N238+O238+P238)),"Проверьте даты",IF(AND(N238&gt;0,P238&gt;1),"Дубль",IF(AND(N238&gt;0,O238&gt;0),O238,"Вне аренды"))))</f>
        <v/>
      </c>
      <c r="G238" s="12">
        <f>IF(ISNUMBER(F238),IFERROR(INDEX(Брони!$C$2:$C$500,MATCH(F238,Брони!$A$2:$A$500,0)),""),"")</f>
        <v/>
      </c>
      <c r="H238" s="10" t="n"/>
      <c r="I238" s="18" t="n"/>
      <c r="J238" s="12">
        <f>IF(AND(ISNUMBER(F238),I238&lt;&gt;""),IFERROR(IF(AND(INDEX(Брони!$F$2:$F$500,MATCH(F238,Брони!$A$2:$A$500,0))="Возвращена",I238&gt;INDEX(Брони!$E$2:$E$500,MATCH(F238,Брони!$A$2:$A$500,0))),"Да",""),""),"")</f>
        <v/>
      </c>
      <c r="K238" s="10" t="n"/>
      <c r="L238" s="14" t="n"/>
      <c r="M238" s="15">
        <f>IF(OR(A238="",B238=""),"",IF(AND(ISNUMBER(F238),H238&lt;&gt;"Компания"),D238+L238,0))</f>
        <v/>
      </c>
      <c r="N238" s="21">
        <f>SUMPRODUCT(MAX((Брони!$B$2:$B$500=B238)*((Брони!$F$2:$F$500="Выдана")+(Брони!$F$2:$F$500="Возвращена"))*(Брони!$D$2:$D$500&lt;=A238)*Брони!$D$2:$D$500))</f>
        <v/>
      </c>
      <c r="O238" s="19">
        <f>SUMPRODUCT((Брони!$B$2:$B$500=B238)*(Брони!$D$2:$D$500=N238)*((((Брони!$F$2:$F$500="Выдана")*NOW())+((Брони!$F$2:$F$500="Возвращена")*Брони!$E$2:$E$500))&gt;=A238)*Брони!$A$2:$A$500)</f>
        <v/>
      </c>
      <c r="P238" s="19">
        <f>SUMPRODUCT((Брони!$B$2:$B$500=B238)*(Брони!$D$2:$D$500=N238)*(((Брони!$F$2:$F$500="Выдана")+(Брони!$F$2:$F$500="Возвращена"))))</f>
        <v/>
      </c>
      <c r="Q238" s="10" t="n"/>
    </row>
    <row r="239">
      <c r="A239" s="11" t="n"/>
      <c r="B239" s="10" t="n"/>
      <c r="C239" s="10" t="n"/>
      <c r="D239" s="14" t="n"/>
      <c r="E239" s="10" t="n"/>
      <c r="F239" s="20">
        <f>IF(OR(A239="",B239=""),"",IF(OR(NOT(ISNUMBER(A239)),ISERROR(N239+O239+P239)),"Проверьте даты",IF(AND(N239&gt;0,P239&gt;1),"Дубль",IF(AND(N239&gt;0,O239&gt;0),O239,"Вне аренды"))))</f>
        <v/>
      </c>
      <c r="G239" s="12">
        <f>IF(ISNUMBER(F239),IFERROR(INDEX(Брони!$C$2:$C$500,MATCH(F239,Брони!$A$2:$A$500,0)),""),"")</f>
        <v/>
      </c>
      <c r="H239" s="10" t="n"/>
      <c r="I239" s="18" t="n"/>
      <c r="J239" s="12">
        <f>IF(AND(ISNUMBER(F239),I239&lt;&gt;""),IFERROR(IF(AND(INDEX(Брони!$F$2:$F$500,MATCH(F239,Брони!$A$2:$A$500,0))="Возвращена",I239&gt;INDEX(Брони!$E$2:$E$500,MATCH(F239,Брони!$A$2:$A$500,0))),"Да",""),""),"")</f>
        <v/>
      </c>
      <c r="K239" s="10" t="n"/>
      <c r="L239" s="14" t="n"/>
      <c r="M239" s="15">
        <f>IF(OR(A239="",B239=""),"",IF(AND(ISNUMBER(F239),H239&lt;&gt;"Компания"),D239+L239,0))</f>
        <v/>
      </c>
      <c r="N239" s="21">
        <f>SUMPRODUCT(MAX((Брони!$B$2:$B$500=B239)*((Брони!$F$2:$F$500="Выдана")+(Брони!$F$2:$F$500="Возвращена"))*(Брони!$D$2:$D$500&lt;=A239)*Брони!$D$2:$D$500))</f>
        <v/>
      </c>
      <c r="O239" s="19">
        <f>SUMPRODUCT((Брони!$B$2:$B$500=B239)*(Брони!$D$2:$D$500=N239)*((((Брони!$F$2:$F$500="Выдана")*NOW())+((Брони!$F$2:$F$500="Возвращена")*Брони!$E$2:$E$500))&gt;=A239)*Брони!$A$2:$A$500)</f>
        <v/>
      </c>
      <c r="P239" s="19">
        <f>SUMPRODUCT((Брони!$B$2:$B$500=B239)*(Брони!$D$2:$D$500=N239)*(((Брони!$F$2:$F$500="Выдана")+(Брони!$F$2:$F$500="Возвращена"))))</f>
        <v/>
      </c>
      <c r="Q239" s="10" t="n"/>
    </row>
    <row r="240">
      <c r="A240" s="11" t="n"/>
      <c r="B240" s="10" t="n"/>
      <c r="C240" s="10" t="n"/>
      <c r="D240" s="14" t="n"/>
      <c r="E240" s="10" t="n"/>
      <c r="F240" s="20">
        <f>IF(OR(A240="",B240=""),"",IF(OR(NOT(ISNUMBER(A240)),ISERROR(N240+O240+P240)),"Проверьте даты",IF(AND(N240&gt;0,P240&gt;1),"Дубль",IF(AND(N240&gt;0,O240&gt;0),O240,"Вне аренды"))))</f>
        <v/>
      </c>
      <c r="G240" s="12">
        <f>IF(ISNUMBER(F240),IFERROR(INDEX(Брони!$C$2:$C$500,MATCH(F240,Брони!$A$2:$A$500,0)),""),"")</f>
        <v/>
      </c>
      <c r="H240" s="10" t="n"/>
      <c r="I240" s="18" t="n"/>
      <c r="J240" s="12">
        <f>IF(AND(ISNUMBER(F240),I240&lt;&gt;""),IFERROR(IF(AND(INDEX(Брони!$F$2:$F$500,MATCH(F240,Брони!$A$2:$A$500,0))="Возвращена",I240&gt;INDEX(Брони!$E$2:$E$500,MATCH(F240,Брони!$A$2:$A$500,0))),"Да",""),""),"")</f>
        <v/>
      </c>
      <c r="K240" s="10" t="n"/>
      <c r="L240" s="14" t="n"/>
      <c r="M240" s="15">
        <f>IF(OR(A240="",B240=""),"",IF(AND(ISNUMBER(F240),H240&lt;&gt;"Компания"),D240+L240,0))</f>
        <v/>
      </c>
      <c r="N240" s="21">
        <f>SUMPRODUCT(MAX((Брони!$B$2:$B$500=B240)*((Брони!$F$2:$F$500="Выдана")+(Брони!$F$2:$F$500="Возвращена"))*(Брони!$D$2:$D$500&lt;=A240)*Брони!$D$2:$D$500))</f>
        <v/>
      </c>
      <c r="O240" s="19">
        <f>SUMPRODUCT((Брони!$B$2:$B$500=B240)*(Брони!$D$2:$D$500=N240)*((((Брони!$F$2:$F$500="Выдана")*NOW())+((Брони!$F$2:$F$500="Возвращена")*Брони!$E$2:$E$500))&gt;=A240)*Брони!$A$2:$A$500)</f>
        <v/>
      </c>
      <c r="P240" s="19">
        <f>SUMPRODUCT((Брони!$B$2:$B$500=B240)*(Брони!$D$2:$D$500=N240)*(((Брони!$F$2:$F$500="Выдана")+(Брони!$F$2:$F$500="Возвращена"))))</f>
        <v/>
      </c>
      <c r="Q240" s="10" t="n"/>
    </row>
    <row r="241">
      <c r="A241" s="11" t="n"/>
      <c r="B241" s="10" t="n"/>
      <c r="C241" s="10" t="n"/>
      <c r="D241" s="14" t="n"/>
      <c r="E241" s="10" t="n"/>
      <c r="F241" s="20">
        <f>IF(OR(A241="",B241=""),"",IF(OR(NOT(ISNUMBER(A241)),ISERROR(N241+O241+P241)),"Проверьте даты",IF(AND(N241&gt;0,P241&gt;1),"Дубль",IF(AND(N241&gt;0,O241&gt;0),O241,"Вне аренды"))))</f>
        <v/>
      </c>
      <c r="G241" s="12">
        <f>IF(ISNUMBER(F241),IFERROR(INDEX(Брони!$C$2:$C$500,MATCH(F241,Брони!$A$2:$A$500,0)),""),"")</f>
        <v/>
      </c>
      <c r="H241" s="10" t="n"/>
      <c r="I241" s="18" t="n"/>
      <c r="J241" s="12">
        <f>IF(AND(ISNUMBER(F241),I241&lt;&gt;""),IFERROR(IF(AND(INDEX(Брони!$F$2:$F$500,MATCH(F241,Брони!$A$2:$A$500,0))="Возвращена",I241&gt;INDEX(Брони!$E$2:$E$500,MATCH(F241,Брони!$A$2:$A$500,0))),"Да",""),""),"")</f>
        <v/>
      </c>
      <c r="K241" s="10" t="n"/>
      <c r="L241" s="14" t="n"/>
      <c r="M241" s="15">
        <f>IF(OR(A241="",B241=""),"",IF(AND(ISNUMBER(F241),H241&lt;&gt;"Компания"),D241+L241,0))</f>
        <v/>
      </c>
      <c r="N241" s="21">
        <f>SUMPRODUCT(MAX((Брони!$B$2:$B$500=B241)*((Брони!$F$2:$F$500="Выдана")+(Брони!$F$2:$F$500="Возвращена"))*(Брони!$D$2:$D$500&lt;=A241)*Брони!$D$2:$D$500))</f>
        <v/>
      </c>
      <c r="O241" s="19">
        <f>SUMPRODUCT((Брони!$B$2:$B$500=B241)*(Брони!$D$2:$D$500=N241)*((((Брони!$F$2:$F$500="Выдана")*NOW())+((Брони!$F$2:$F$500="Возвращена")*Брони!$E$2:$E$500))&gt;=A241)*Брони!$A$2:$A$500)</f>
        <v/>
      </c>
      <c r="P241" s="19">
        <f>SUMPRODUCT((Брони!$B$2:$B$500=B241)*(Брони!$D$2:$D$500=N241)*(((Брони!$F$2:$F$500="Выдана")+(Брони!$F$2:$F$500="Возвращена"))))</f>
        <v/>
      </c>
      <c r="Q241" s="10" t="n"/>
    </row>
    <row r="242">
      <c r="A242" s="11" t="n"/>
      <c r="B242" s="10" t="n"/>
      <c r="C242" s="10" t="n"/>
      <c r="D242" s="14" t="n"/>
      <c r="E242" s="10" t="n"/>
      <c r="F242" s="20">
        <f>IF(OR(A242="",B242=""),"",IF(OR(NOT(ISNUMBER(A242)),ISERROR(N242+O242+P242)),"Проверьте даты",IF(AND(N242&gt;0,P242&gt;1),"Дубль",IF(AND(N242&gt;0,O242&gt;0),O242,"Вне аренды"))))</f>
        <v/>
      </c>
      <c r="G242" s="12">
        <f>IF(ISNUMBER(F242),IFERROR(INDEX(Брони!$C$2:$C$500,MATCH(F242,Брони!$A$2:$A$500,0)),""),"")</f>
        <v/>
      </c>
      <c r="H242" s="10" t="n"/>
      <c r="I242" s="18" t="n"/>
      <c r="J242" s="12">
        <f>IF(AND(ISNUMBER(F242),I242&lt;&gt;""),IFERROR(IF(AND(INDEX(Брони!$F$2:$F$500,MATCH(F242,Брони!$A$2:$A$500,0))="Возвращена",I242&gt;INDEX(Брони!$E$2:$E$500,MATCH(F242,Брони!$A$2:$A$500,0))),"Да",""),""),"")</f>
        <v/>
      </c>
      <c r="K242" s="10" t="n"/>
      <c r="L242" s="14" t="n"/>
      <c r="M242" s="15">
        <f>IF(OR(A242="",B242=""),"",IF(AND(ISNUMBER(F242),H242&lt;&gt;"Компания"),D242+L242,0))</f>
        <v/>
      </c>
      <c r="N242" s="21">
        <f>SUMPRODUCT(MAX((Брони!$B$2:$B$500=B242)*((Брони!$F$2:$F$500="Выдана")+(Брони!$F$2:$F$500="Возвращена"))*(Брони!$D$2:$D$500&lt;=A242)*Брони!$D$2:$D$500))</f>
        <v/>
      </c>
      <c r="O242" s="19">
        <f>SUMPRODUCT((Брони!$B$2:$B$500=B242)*(Брони!$D$2:$D$500=N242)*((((Брони!$F$2:$F$500="Выдана")*NOW())+((Брони!$F$2:$F$500="Возвращена")*Брони!$E$2:$E$500))&gt;=A242)*Брони!$A$2:$A$500)</f>
        <v/>
      </c>
      <c r="P242" s="19">
        <f>SUMPRODUCT((Брони!$B$2:$B$500=B242)*(Брони!$D$2:$D$500=N242)*(((Брони!$F$2:$F$500="Выдана")+(Брони!$F$2:$F$500="Возвращена"))))</f>
        <v/>
      </c>
      <c r="Q242" s="10" t="n"/>
    </row>
    <row r="243">
      <c r="A243" s="11" t="n"/>
      <c r="B243" s="10" t="n"/>
      <c r="C243" s="10" t="n"/>
      <c r="D243" s="14" t="n"/>
      <c r="E243" s="10" t="n"/>
      <c r="F243" s="20">
        <f>IF(OR(A243="",B243=""),"",IF(OR(NOT(ISNUMBER(A243)),ISERROR(N243+O243+P243)),"Проверьте даты",IF(AND(N243&gt;0,P243&gt;1),"Дубль",IF(AND(N243&gt;0,O243&gt;0),O243,"Вне аренды"))))</f>
        <v/>
      </c>
      <c r="G243" s="12">
        <f>IF(ISNUMBER(F243),IFERROR(INDEX(Брони!$C$2:$C$500,MATCH(F243,Брони!$A$2:$A$500,0)),""),"")</f>
        <v/>
      </c>
      <c r="H243" s="10" t="n"/>
      <c r="I243" s="18" t="n"/>
      <c r="J243" s="12">
        <f>IF(AND(ISNUMBER(F243),I243&lt;&gt;""),IFERROR(IF(AND(INDEX(Брони!$F$2:$F$500,MATCH(F243,Брони!$A$2:$A$500,0))="Возвращена",I243&gt;INDEX(Брони!$E$2:$E$500,MATCH(F243,Брони!$A$2:$A$500,0))),"Да",""),""),"")</f>
        <v/>
      </c>
      <c r="K243" s="10" t="n"/>
      <c r="L243" s="14" t="n"/>
      <c r="M243" s="15">
        <f>IF(OR(A243="",B243=""),"",IF(AND(ISNUMBER(F243),H243&lt;&gt;"Компания"),D243+L243,0))</f>
        <v/>
      </c>
      <c r="N243" s="21">
        <f>SUMPRODUCT(MAX((Брони!$B$2:$B$500=B243)*((Брони!$F$2:$F$500="Выдана")+(Брони!$F$2:$F$500="Возвращена"))*(Брони!$D$2:$D$500&lt;=A243)*Брони!$D$2:$D$500))</f>
        <v/>
      </c>
      <c r="O243" s="19">
        <f>SUMPRODUCT((Брони!$B$2:$B$500=B243)*(Брони!$D$2:$D$500=N243)*((((Брони!$F$2:$F$500="Выдана")*NOW())+((Брони!$F$2:$F$500="Возвращена")*Брони!$E$2:$E$500))&gt;=A243)*Брони!$A$2:$A$500)</f>
        <v/>
      </c>
      <c r="P243" s="19">
        <f>SUMPRODUCT((Брони!$B$2:$B$500=B243)*(Брони!$D$2:$D$500=N243)*(((Брони!$F$2:$F$500="Выдана")+(Брони!$F$2:$F$500="Возвращена"))))</f>
        <v/>
      </c>
      <c r="Q243" s="10" t="n"/>
    </row>
    <row r="244">
      <c r="A244" s="11" t="n"/>
      <c r="B244" s="10" t="n"/>
      <c r="C244" s="10" t="n"/>
      <c r="D244" s="14" t="n"/>
      <c r="E244" s="10" t="n"/>
      <c r="F244" s="20">
        <f>IF(OR(A244="",B244=""),"",IF(OR(NOT(ISNUMBER(A244)),ISERROR(N244+O244+P244)),"Проверьте даты",IF(AND(N244&gt;0,P244&gt;1),"Дубль",IF(AND(N244&gt;0,O244&gt;0),O244,"Вне аренды"))))</f>
        <v/>
      </c>
      <c r="G244" s="12">
        <f>IF(ISNUMBER(F244),IFERROR(INDEX(Брони!$C$2:$C$500,MATCH(F244,Брони!$A$2:$A$500,0)),""),"")</f>
        <v/>
      </c>
      <c r="H244" s="10" t="n"/>
      <c r="I244" s="18" t="n"/>
      <c r="J244" s="12">
        <f>IF(AND(ISNUMBER(F244),I244&lt;&gt;""),IFERROR(IF(AND(INDEX(Брони!$F$2:$F$500,MATCH(F244,Брони!$A$2:$A$500,0))="Возвращена",I244&gt;INDEX(Брони!$E$2:$E$500,MATCH(F244,Брони!$A$2:$A$500,0))),"Да",""),""),"")</f>
        <v/>
      </c>
      <c r="K244" s="10" t="n"/>
      <c r="L244" s="14" t="n"/>
      <c r="M244" s="15">
        <f>IF(OR(A244="",B244=""),"",IF(AND(ISNUMBER(F244),H244&lt;&gt;"Компания"),D244+L244,0))</f>
        <v/>
      </c>
      <c r="N244" s="21">
        <f>SUMPRODUCT(MAX((Брони!$B$2:$B$500=B244)*((Брони!$F$2:$F$500="Выдана")+(Брони!$F$2:$F$500="Возвращена"))*(Брони!$D$2:$D$500&lt;=A244)*Брони!$D$2:$D$500))</f>
        <v/>
      </c>
      <c r="O244" s="19">
        <f>SUMPRODUCT((Брони!$B$2:$B$500=B244)*(Брони!$D$2:$D$500=N244)*((((Брони!$F$2:$F$500="Выдана")*NOW())+((Брони!$F$2:$F$500="Возвращена")*Брони!$E$2:$E$500))&gt;=A244)*Брони!$A$2:$A$500)</f>
        <v/>
      </c>
      <c r="P244" s="19">
        <f>SUMPRODUCT((Брони!$B$2:$B$500=B244)*(Брони!$D$2:$D$500=N244)*(((Брони!$F$2:$F$500="Выдана")+(Брони!$F$2:$F$500="Возвращена"))))</f>
        <v/>
      </c>
      <c r="Q244" s="10" t="n"/>
    </row>
    <row r="245">
      <c r="A245" s="11" t="n"/>
      <c r="B245" s="10" t="n"/>
      <c r="C245" s="10" t="n"/>
      <c r="D245" s="14" t="n"/>
      <c r="E245" s="10" t="n"/>
      <c r="F245" s="20">
        <f>IF(OR(A245="",B245=""),"",IF(OR(NOT(ISNUMBER(A245)),ISERROR(N245+O245+P245)),"Проверьте даты",IF(AND(N245&gt;0,P245&gt;1),"Дубль",IF(AND(N245&gt;0,O245&gt;0),O245,"Вне аренды"))))</f>
        <v/>
      </c>
      <c r="G245" s="12">
        <f>IF(ISNUMBER(F245),IFERROR(INDEX(Брони!$C$2:$C$500,MATCH(F245,Брони!$A$2:$A$500,0)),""),"")</f>
        <v/>
      </c>
      <c r="H245" s="10" t="n"/>
      <c r="I245" s="18" t="n"/>
      <c r="J245" s="12">
        <f>IF(AND(ISNUMBER(F245),I245&lt;&gt;""),IFERROR(IF(AND(INDEX(Брони!$F$2:$F$500,MATCH(F245,Брони!$A$2:$A$500,0))="Возвращена",I245&gt;INDEX(Брони!$E$2:$E$500,MATCH(F245,Брони!$A$2:$A$500,0))),"Да",""),""),"")</f>
        <v/>
      </c>
      <c r="K245" s="10" t="n"/>
      <c r="L245" s="14" t="n"/>
      <c r="M245" s="15">
        <f>IF(OR(A245="",B245=""),"",IF(AND(ISNUMBER(F245),H245&lt;&gt;"Компания"),D245+L245,0))</f>
        <v/>
      </c>
      <c r="N245" s="21">
        <f>SUMPRODUCT(MAX((Брони!$B$2:$B$500=B245)*((Брони!$F$2:$F$500="Выдана")+(Брони!$F$2:$F$500="Возвращена"))*(Брони!$D$2:$D$500&lt;=A245)*Брони!$D$2:$D$500))</f>
        <v/>
      </c>
      <c r="O245" s="19">
        <f>SUMPRODUCT((Брони!$B$2:$B$500=B245)*(Брони!$D$2:$D$500=N245)*((((Брони!$F$2:$F$500="Выдана")*NOW())+((Брони!$F$2:$F$500="Возвращена")*Брони!$E$2:$E$500))&gt;=A245)*Брони!$A$2:$A$500)</f>
        <v/>
      </c>
      <c r="P245" s="19">
        <f>SUMPRODUCT((Брони!$B$2:$B$500=B245)*(Брони!$D$2:$D$500=N245)*(((Брони!$F$2:$F$500="Выдана")+(Брони!$F$2:$F$500="Возвращена"))))</f>
        <v/>
      </c>
      <c r="Q245" s="10" t="n"/>
    </row>
    <row r="246">
      <c r="A246" s="11" t="n"/>
      <c r="B246" s="10" t="n"/>
      <c r="C246" s="10" t="n"/>
      <c r="D246" s="14" t="n"/>
      <c r="E246" s="10" t="n"/>
      <c r="F246" s="20">
        <f>IF(OR(A246="",B246=""),"",IF(OR(NOT(ISNUMBER(A246)),ISERROR(N246+O246+P246)),"Проверьте даты",IF(AND(N246&gt;0,P246&gt;1),"Дубль",IF(AND(N246&gt;0,O246&gt;0),O246,"Вне аренды"))))</f>
        <v/>
      </c>
      <c r="G246" s="12">
        <f>IF(ISNUMBER(F246),IFERROR(INDEX(Брони!$C$2:$C$500,MATCH(F246,Брони!$A$2:$A$500,0)),""),"")</f>
        <v/>
      </c>
      <c r="H246" s="10" t="n"/>
      <c r="I246" s="18" t="n"/>
      <c r="J246" s="12">
        <f>IF(AND(ISNUMBER(F246),I246&lt;&gt;""),IFERROR(IF(AND(INDEX(Брони!$F$2:$F$500,MATCH(F246,Брони!$A$2:$A$500,0))="Возвращена",I246&gt;INDEX(Брони!$E$2:$E$500,MATCH(F246,Брони!$A$2:$A$500,0))),"Да",""),""),"")</f>
        <v/>
      </c>
      <c r="K246" s="10" t="n"/>
      <c r="L246" s="14" t="n"/>
      <c r="M246" s="15">
        <f>IF(OR(A246="",B246=""),"",IF(AND(ISNUMBER(F246),H246&lt;&gt;"Компания"),D246+L246,0))</f>
        <v/>
      </c>
      <c r="N246" s="21">
        <f>SUMPRODUCT(MAX((Брони!$B$2:$B$500=B246)*((Брони!$F$2:$F$500="Выдана")+(Брони!$F$2:$F$500="Возвращена"))*(Брони!$D$2:$D$500&lt;=A246)*Брони!$D$2:$D$500))</f>
        <v/>
      </c>
      <c r="O246" s="19">
        <f>SUMPRODUCT((Брони!$B$2:$B$500=B246)*(Брони!$D$2:$D$500=N246)*((((Брони!$F$2:$F$500="Выдана")*NOW())+((Брони!$F$2:$F$500="Возвращена")*Брони!$E$2:$E$500))&gt;=A246)*Брони!$A$2:$A$500)</f>
        <v/>
      </c>
      <c r="P246" s="19">
        <f>SUMPRODUCT((Брони!$B$2:$B$500=B246)*(Брони!$D$2:$D$500=N246)*(((Брони!$F$2:$F$500="Выдана")+(Брони!$F$2:$F$500="Возвращена"))))</f>
        <v/>
      </c>
      <c r="Q246" s="10" t="n"/>
    </row>
    <row r="247">
      <c r="A247" s="11" t="n"/>
      <c r="B247" s="10" t="n"/>
      <c r="C247" s="10" t="n"/>
      <c r="D247" s="14" t="n"/>
      <c r="E247" s="10" t="n"/>
      <c r="F247" s="20">
        <f>IF(OR(A247="",B247=""),"",IF(OR(NOT(ISNUMBER(A247)),ISERROR(N247+O247+P247)),"Проверьте даты",IF(AND(N247&gt;0,P247&gt;1),"Дубль",IF(AND(N247&gt;0,O247&gt;0),O247,"Вне аренды"))))</f>
        <v/>
      </c>
      <c r="G247" s="12">
        <f>IF(ISNUMBER(F247),IFERROR(INDEX(Брони!$C$2:$C$500,MATCH(F247,Брони!$A$2:$A$500,0)),""),"")</f>
        <v/>
      </c>
      <c r="H247" s="10" t="n"/>
      <c r="I247" s="18" t="n"/>
      <c r="J247" s="12">
        <f>IF(AND(ISNUMBER(F247),I247&lt;&gt;""),IFERROR(IF(AND(INDEX(Брони!$F$2:$F$500,MATCH(F247,Брони!$A$2:$A$500,0))="Возвращена",I247&gt;INDEX(Брони!$E$2:$E$500,MATCH(F247,Брони!$A$2:$A$500,0))),"Да",""),""),"")</f>
        <v/>
      </c>
      <c r="K247" s="10" t="n"/>
      <c r="L247" s="14" t="n"/>
      <c r="M247" s="15">
        <f>IF(OR(A247="",B247=""),"",IF(AND(ISNUMBER(F247),H247&lt;&gt;"Компания"),D247+L247,0))</f>
        <v/>
      </c>
      <c r="N247" s="21">
        <f>SUMPRODUCT(MAX((Брони!$B$2:$B$500=B247)*((Брони!$F$2:$F$500="Выдана")+(Брони!$F$2:$F$500="Возвращена"))*(Брони!$D$2:$D$500&lt;=A247)*Брони!$D$2:$D$500))</f>
        <v/>
      </c>
      <c r="O247" s="19">
        <f>SUMPRODUCT((Брони!$B$2:$B$500=B247)*(Брони!$D$2:$D$500=N247)*((((Брони!$F$2:$F$500="Выдана")*NOW())+((Брони!$F$2:$F$500="Возвращена")*Брони!$E$2:$E$500))&gt;=A247)*Брони!$A$2:$A$500)</f>
        <v/>
      </c>
      <c r="P247" s="19">
        <f>SUMPRODUCT((Брони!$B$2:$B$500=B247)*(Брони!$D$2:$D$500=N247)*(((Брони!$F$2:$F$500="Выдана")+(Брони!$F$2:$F$500="Возвращена"))))</f>
        <v/>
      </c>
      <c r="Q247" s="10" t="n"/>
    </row>
    <row r="248">
      <c r="A248" s="11" t="n"/>
      <c r="B248" s="10" t="n"/>
      <c r="C248" s="10" t="n"/>
      <c r="D248" s="14" t="n"/>
      <c r="E248" s="10" t="n"/>
      <c r="F248" s="20">
        <f>IF(OR(A248="",B248=""),"",IF(OR(NOT(ISNUMBER(A248)),ISERROR(N248+O248+P248)),"Проверьте даты",IF(AND(N248&gt;0,P248&gt;1),"Дубль",IF(AND(N248&gt;0,O248&gt;0),O248,"Вне аренды"))))</f>
        <v/>
      </c>
      <c r="G248" s="12">
        <f>IF(ISNUMBER(F248),IFERROR(INDEX(Брони!$C$2:$C$500,MATCH(F248,Брони!$A$2:$A$500,0)),""),"")</f>
        <v/>
      </c>
      <c r="H248" s="10" t="n"/>
      <c r="I248" s="18" t="n"/>
      <c r="J248" s="12">
        <f>IF(AND(ISNUMBER(F248),I248&lt;&gt;""),IFERROR(IF(AND(INDEX(Брони!$F$2:$F$500,MATCH(F248,Брони!$A$2:$A$500,0))="Возвращена",I248&gt;INDEX(Брони!$E$2:$E$500,MATCH(F248,Брони!$A$2:$A$500,0))),"Да",""),""),"")</f>
        <v/>
      </c>
      <c r="K248" s="10" t="n"/>
      <c r="L248" s="14" t="n"/>
      <c r="M248" s="15">
        <f>IF(OR(A248="",B248=""),"",IF(AND(ISNUMBER(F248),H248&lt;&gt;"Компания"),D248+L248,0))</f>
        <v/>
      </c>
      <c r="N248" s="21">
        <f>SUMPRODUCT(MAX((Брони!$B$2:$B$500=B248)*((Брони!$F$2:$F$500="Выдана")+(Брони!$F$2:$F$500="Возвращена"))*(Брони!$D$2:$D$500&lt;=A248)*Брони!$D$2:$D$500))</f>
        <v/>
      </c>
      <c r="O248" s="19">
        <f>SUMPRODUCT((Брони!$B$2:$B$500=B248)*(Брони!$D$2:$D$500=N248)*((((Брони!$F$2:$F$500="Выдана")*NOW())+((Брони!$F$2:$F$500="Возвращена")*Брони!$E$2:$E$500))&gt;=A248)*Брони!$A$2:$A$500)</f>
        <v/>
      </c>
      <c r="P248" s="19">
        <f>SUMPRODUCT((Брони!$B$2:$B$500=B248)*(Брони!$D$2:$D$500=N248)*(((Брони!$F$2:$F$500="Выдана")+(Брони!$F$2:$F$500="Возвращена"))))</f>
        <v/>
      </c>
      <c r="Q248" s="10" t="n"/>
    </row>
    <row r="249">
      <c r="A249" s="11" t="n"/>
      <c r="B249" s="10" t="n"/>
      <c r="C249" s="10" t="n"/>
      <c r="D249" s="14" t="n"/>
      <c r="E249" s="10" t="n"/>
      <c r="F249" s="20">
        <f>IF(OR(A249="",B249=""),"",IF(OR(NOT(ISNUMBER(A249)),ISERROR(N249+O249+P249)),"Проверьте даты",IF(AND(N249&gt;0,P249&gt;1),"Дубль",IF(AND(N249&gt;0,O249&gt;0),O249,"Вне аренды"))))</f>
        <v/>
      </c>
      <c r="G249" s="12">
        <f>IF(ISNUMBER(F249),IFERROR(INDEX(Брони!$C$2:$C$500,MATCH(F249,Брони!$A$2:$A$500,0)),""),"")</f>
        <v/>
      </c>
      <c r="H249" s="10" t="n"/>
      <c r="I249" s="18" t="n"/>
      <c r="J249" s="12">
        <f>IF(AND(ISNUMBER(F249),I249&lt;&gt;""),IFERROR(IF(AND(INDEX(Брони!$F$2:$F$500,MATCH(F249,Брони!$A$2:$A$500,0))="Возвращена",I249&gt;INDEX(Брони!$E$2:$E$500,MATCH(F249,Брони!$A$2:$A$500,0))),"Да",""),""),"")</f>
        <v/>
      </c>
      <c r="K249" s="10" t="n"/>
      <c r="L249" s="14" t="n"/>
      <c r="M249" s="15">
        <f>IF(OR(A249="",B249=""),"",IF(AND(ISNUMBER(F249),H249&lt;&gt;"Компания"),D249+L249,0))</f>
        <v/>
      </c>
      <c r="N249" s="21">
        <f>SUMPRODUCT(MAX((Брони!$B$2:$B$500=B249)*((Брони!$F$2:$F$500="Выдана")+(Брони!$F$2:$F$500="Возвращена"))*(Брони!$D$2:$D$500&lt;=A249)*Брони!$D$2:$D$500))</f>
        <v/>
      </c>
      <c r="O249" s="19">
        <f>SUMPRODUCT((Брони!$B$2:$B$500=B249)*(Брони!$D$2:$D$500=N249)*((((Брони!$F$2:$F$500="Выдана")*NOW())+((Брони!$F$2:$F$500="Возвращена")*Брони!$E$2:$E$500))&gt;=A249)*Брони!$A$2:$A$500)</f>
        <v/>
      </c>
      <c r="P249" s="19">
        <f>SUMPRODUCT((Брони!$B$2:$B$500=B249)*(Брони!$D$2:$D$500=N249)*(((Брони!$F$2:$F$500="Выдана")+(Брони!$F$2:$F$500="Возвращена"))))</f>
        <v/>
      </c>
      <c r="Q249" s="10" t="n"/>
    </row>
    <row r="250">
      <c r="A250" s="11" t="n"/>
      <c r="B250" s="10" t="n"/>
      <c r="C250" s="10" t="n"/>
      <c r="D250" s="14" t="n"/>
      <c r="E250" s="10" t="n"/>
      <c r="F250" s="20">
        <f>IF(OR(A250="",B250=""),"",IF(OR(NOT(ISNUMBER(A250)),ISERROR(N250+O250+P250)),"Проверьте даты",IF(AND(N250&gt;0,P250&gt;1),"Дубль",IF(AND(N250&gt;0,O250&gt;0),O250,"Вне аренды"))))</f>
        <v/>
      </c>
      <c r="G250" s="12">
        <f>IF(ISNUMBER(F250),IFERROR(INDEX(Брони!$C$2:$C$500,MATCH(F250,Брони!$A$2:$A$500,0)),""),"")</f>
        <v/>
      </c>
      <c r="H250" s="10" t="n"/>
      <c r="I250" s="18" t="n"/>
      <c r="J250" s="12">
        <f>IF(AND(ISNUMBER(F250),I250&lt;&gt;""),IFERROR(IF(AND(INDEX(Брони!$F$2:$F$500,MATCH(F250,Брони!$A$2:$A$500,0))="Возвращена",I250&gt;INDEX(Брони!$E$2:$E$500,MATCH(F250,Брони!$A$2:$A$500,0))),"Да",""),""),"")</f>
        <v/>
      </c>
      <c r="K250" s="10" t="n"/>
      <c r="L250" s="14" t="n"/>
      <c r="M250" s="15">
        <f>IF(OR(A250="",B250=""),"",IF(AND(ISNUMBER(F250),H250&lt;&gt;"Компания"),D250+L250,0))</f>
        <v/>
      </c>
      <c r="N250" s="21">
        <f>SUMPRODUCT(MAX((Брони!$B$2:$B$500=B250)*((Брони!$F$2:$F$500="Выдана")+(Брони!$F$2:$F$500="Возвращена"))*(Брони!$D$2:$D$500&lt;=A250)*Брони!$D$2:$D$500))</f>
        <v/>
      </c>
      <c r="O250" s="19">
        <f>SUMPRODUCT((Брони!$B$2:$B$500=B250)*(Брони!$D$2:$D$500=N250)*((((Брони!$F$2:$F$500="Выдана")*NOW())+((Брони!$F$2:$F$500="Возвращена")*Брони!$E$2:$E$500))&gt;=A250)*Брони!$A$2:$A$500)</f>
        <v/>
      </c>
      <c r="P250" s="19">
        <f>SUMPRODUCT((Брони!$B$2:$B$500=B250)*(Брони!$D$2:$D$500=N250)*(((Брони!$F$2:$F$500="Выдана")+(Брони!$F$2:$F$500="Возвращена"))))</f>
        <v/>
      </c>
      <c r="Q250" s="10" t="n"/>
    </row>
    <row r="251">
      <c r="A251" s="11" t="n"/>
      <c r="B251" s="10" t="n"/>
      <c r="C251" s="10" t="n"/>
      <c r="D251" s="14" t="n"/>
      <c r="E251" s="10" t="n"/>
      <c r="F251" s="20">
        <f>IF(OR(A251="",B251=""),"",IF(OR(NOT(ISNUMBER(A251)),ISERROR(N251+O251+P251)),"Проверьте даты",IF(AND(N251&gt;0,P251&gt;1),"Дубль",IF(AND(N251&gt;0,O251&gt;0),O251,"Вне аренды"))))</f>
        <v/>
      </c>
      <c r="G251" s="12">
        <f>IF(ISNUMBER(F251),IFERROR(INDEX(Брони!$C$2:$C$500,MATCH(F251,Брони!$A$2:$A$500,0)),""),"")</f>
        <v/>
      </c>
      <c r="H251" s="10" t="n"/>
      <c r="I251" s="18" t="n"/>
      <c r="J251" s="12">
        <f>IF(AND(ISNUMBER(F251),I251&lt;&gt;""),IFERROR(IF(AND(INDEX(Брони!$F$2:$F$500,MATCH(F251,Брони!$A$2:$A$500,0))="Возвращена",I251&gt;INDEX(Брони!$E$2:$E$500,MATCH(F251,Брони!$A$2:$A$500,0))),"Да",""),""),"")</f>
        <v/>
      </c>
      <c r="K251" s="10" t="n"/>
      <c r="L251" s="14" t="n"/>
      <c r="M251" s="15">
        <f>IF(OR(A251="",B251=""),"",IF(AND(ISNUMBER(F251),H251&lt;&gt;"Компания"),D251+L251,0))</f>
        <v/>
      </c>
      <c r="N251" s="21">
        <f>SUMPRODUCT(MAX((Брони!$B$2:$B$500=B251)*((Брони!$F$2:$F$500="Выдана")+(Брони!$F$2:$F$500="Возвращена"))*(Брони!$D$2:$D$500&lt;=A251)*Брони!$D$2:$D$500))</f>
        <v/>
      </c>
      <c r="O251" s="19">
        <f>SUMPRODUCT((Брони!$B$2:$B$500=B251)*(Брони!$D$2:$D$500=N251)*((((Брони!$F$2:$F$500="Выдана")*NOW())+((Брони!$F$2:$F$500="Возвращена")*Брони!$E$2:$E$500))&gt;=A251)*Брони!$A$2:$A$500)</f>
        <v/>
      </c>
      <c r="P251" s="19">
        <f>SUMPRODUCT((Брони!$B$2:$B$500=B251)*(Брони!$D$2:$D$500=N251)*(((Брони!$F$2:$F$500="Выдана")+(Брони!$F$2:$F$500="Возвращена"))))</f>
        <v/>
      </c>
      <c r="Q251" s="10" t="n"/>
    </row>
    <row r="252">
      <c r="A252" s="11" t="n"/>
      <c r="B252" s="10" t="n"/>
      <c r="C252" s="10" t="n"/>
      <c r="D252" s="14" t="n"/>
      <c r="E252" s="10" t="n"/>
      <c r="F252" s="20">
        <f>IF(OR(A252="",B252=""),"",IF(OR(NOT(ISNUMBER(A252)),ISERROR(N252+O252+P252)),"Проверьте даты",IF(AND(N252&gt;0,P252&gt;1),"Дубль",IF(AND(N252&gt;0,O252&gt;0),O252,"Вне аренды"))))</f>
        <v/>
      </c>
      <c r="G252" s="12">
        <f>IF(ISNUMBER(F252),IFERROR(INDEX(Брони!$C$2:$C$500,MATCH(F252,Брони!$A$2:$A$500,0)),""),"")</f>
        <v/>
      </c>
      <c r="H252" s="10" t="n"/>
      <c r="I252" s="18" t="n"/>
      <c r="J252" s="12">
        <f>IF(AND(ISNUMBER(F252),I252&lt;&gt;""),IFERROR(IF(AND(INDEX(Брони!$F$2:$F$500,MATCH(F252,Брони!$A$2:$A$500,0))="Возвращена",I252&gt;INDEX(Брони!$E$2:$E$500,MATCH(F252,Брони!$A$2:$A$500,0))),"Да",""),""),"")</f>
        <v/>
      </c>
      <c r="K252" s="10" t="n"/>
      <c r="L252" s="14" t="n"/>
      <c r="M252" s="15">
        <f>IF(OR(A252="",B252=""),"",IF(AND(ISNUMBER(F252),H252&lt;&gt;"Компания"),D252+L252,0))</f>
        <v/>
      </c>
      <c r="N252" s="21">
        <f>SUMPRODUCT(MAX((Брони!$B$2:$B$500=B252)*((Брони!$F$2:$F$500="Выдана")+(Брони!$F$2:$F$500="Возвращена"))*(Брони!$D$2:$D$500&lt;=A252)*Брони!$D$2:$D$500))</f>
        <v/>
      </c>
      <c r="O252" s="19">
        <f>SUMPRODUCT((Брони!$B$2:$B$500=B252)*(Брони!$D$2:$D$500=N252)*((((Брони!$F$2:$F$500="Выдана")*NOW())+((Брони!$F$2:$F$500="Возвращена")*Брони!$E$2:$E$500))&gt;=A252)*Брони!$A$2:$A$500)</f>
        <v/>
      </c>
      <c r="P252" s="19">
        <f>SUMPRODUCT((Брони!$B$2:$B$500=B252)*(Брони!$D$2:$D$500=N252)*(((Брони!$F$2:$F$500="Выдана")+(Брони!$F$2:$F$500="Возвращена"))))</f>
        <v/>
      </c>
      <c r="Q252" s="10" t="n"/>
    </row>
    <row r="253">
      <c r="A253" s="11" t="n"/>
      <c r="B253" s="10" t="n"/>
      <c r="C253" s="10" t="n"/>
      <c r="D253" s="14" t="n"/>
      <c r="E253" s="10" t="n"/>
      <c r="F253" s="20">
        <f>IF(OR(A253="",B253=""),"",IF(OR(NOT(ISNUMBER(A253)),ISERROR(N253+O253+P253)),"Проверьте даты",IF(AND(N253&gt;0,P253&gt;1),"Дубль",IF(AND(N253&gt;0,O253&gt;0),O253,"Вне аренды"))))</f>
        <v/>
      </c>
      <c r="G253" s="12">
        <f>IF(ISNUMBER(F253),IFERROR(INDEX(Брони!$C$2:$C$500,MATCH(F253,Брони!$A$2:$A$500,0)),""),"")</f>
        <v/>
      </c>
      <c r="H253" s="10" t="n"/>
      <c r="I253" s="18" t="n"/>
      <c r="J253" s="12">
        <f>IF(AND(ISNUMBER(F253),I253&lt;&gt;""),IFERROR(IF(AND(INDEX(Брони!$F$2:$F$500,MATCH(F253,Брони!$A$2:$A$500,0))="Возвращена",I253&gt;INDEX(Брони!$E$2:$E$500,MATCH(F253,Брони!$A$2:$A$500,0))),"Да",""),""),"")</f>
        <v/>
      </c>
      <c r="K253" s="10" t="n"/>
      <c r="L253" s="14" t="n"/>
      <c r="M253" s="15">
        <f>IF(OR(A253="",B253=""),"",IF(AND(ISNUMBER(F253),H253&lt;&gt;"Компания"),D253+L253,0))</f>
        <v/>
      </c>
      <c r="N253" s="21">
        <f>SUMPRODUCT(MAX((Брони!$B$2:$B$500=B253)*((Брони!$F$2:$F$500="Выдана")+(Брони!$F$2:$F$500="Возвращена"))*(Брони!$D$2:$D$500&lt;=A253)*Брони!$D$2:$D$500))</f>
        <v/>
      </c>
      <c r="O253" s="19">
        <f>SUMPRODUCT((Брони!$B$2:$B$500=B253)*(Брони!$D$2:$D$500=N253)*((((Брони!$F$2:$F$500="Выдана")*NOW())+((Брони!$F$2:$F$500="Возвращена")*Брони!$E$2:$E$500))&gt;=A253)*Брони!$A$2:$A$500)</f>
        <v/>
      </c>
      <c r="P253" s="19">
        <f>SUMPRODUCT((Брони!$B$2:$B$500=B253)*(Брони!$D$2:$D$500=N253)*(((Брони!$F$2:$F$500="Выдана")+(Брони!$F$2:$F$500="Возвращена"))))</f>
        <v/>
      </c>
      <c r="Q253" s="10" t="n"/>
    </row>
    <row r="254">
      <c r="A254" s="11" t="n"/>
      <c r="B254" s="10" t="n"/>
      <c r="C254" s="10" t="n"/>
      <c r="D254" s="14" t="n"/>
      <c r="E254" s="10" t="n"/>
      <c r="F254" s="20">
        <f>IF(OR(A254="",B254=""),"",IF(OR(NOT(ISNUMBER(A254)),ISERROR(N254+O254+P254)),"Проверьте даты",IF(AND(N254&gt;0,P254&gt;1),"Дубль",IF(AND(N254&gt;0,O254&gt;0),O254,"Вне аренды"))))</f>
        <v/>
      </c>
      <c r="G254" s="12">
        <f>IF(ISNUMBER(F254),IFERROR(INDEX(Брони!$C$2:$C$500,MATCH(F254,Брони!$A$2:$A$500,0)),""),"")</f>
        <v/>
      </c>
      <c r="H254" s="10" t="n"/>
      <c r="I254" s="18" t="n"/>
      <c r="J254" s="12">
        <f>IF(AND(ISNUMBER(F254),I254&lt;&gt;""),IFERROR(IF(AND(INDEX(Брони!$F$2:$F$500,MATCH(F254,Брони!$A$2:$A$500,0))="Возвращена",I254&gt;INDEX(Брони!$E$2:$E$500,MATCH(F254,Брони!$A$2:$A$500,0))),"Да",""),""),"")</f>
        <v/>
      </c>
      <c r="K254" s="10" t="n"/>
      <c r="L254" s="14" t="n"/>
      <c r="M254" s="15">
        <f>IF(OR(A254="",B254=""),"",IF(AND(ISNUMBER(F254),H254&lt;&gt;"Компания"),D254+L254,0))</f>
        <v/>
      </c>
      <c r="N254" s="21">
        <f>SUMPRODUCT(MAX((Брони!$B$2:$B$500=B254)*((Брони!$F$2:$F$500="Выдана")+(Брони!$F$2:$F$500="Возвращена"))*(Брони!$D$2:$D$500&lt;=A254)*Брони!$D$2:$D$500))</f>
        <v/>
      </c>
      <c r="O254" s="19">
        <f>SUMPRODUCT((Брони!$B$2:$B$500=B254)*(Брони!$D$2:$D$500=N254)*((((Брони!$F$2:$F$500="Выдана")*NOW())+((Брони!$F$2:$F$500="Возвращена")*Брони!$E$2:$E$500))&gt;=A254)*Брони!$A$2:$A$500)</f>
        <v/>
      </c>
      <c r="P254" s="19">
        <f>SUMPRODUCT((Брони!$B$2:$B$500=B254)*(Брони!$D$2:$D$500=N254)*(((Брони!$F$2:$F$500="Выдана")+(Брони!$F$2:$F$500="Возвращена"))))</f>
        <v/>
      </c>
      <c r="Q254" s="10" t="n"/>
    </row>
    <row r="255">
      <c r="A255" s="11" t="n"/>
      <c r="B255" s="10" t="n"/>
      <c r="C255" s="10" t="n"/>
      <c r="D255" s="14" t="n"/>
      <c r="E255" s="10" t="n"/>
      <c r="F255" s="20">
        <f>IF(OR(A255="",B255=""),"",IF(OR(NOT(ISNUMBER(A255)),ISERROR(N255+O255+P255)),"Проверьте даты",IF(AND(N255&gt;0,P255&gt;1),"Дубль",IF(AND(N255&gt;0,O255&gt;0),O255,"Вне аренды"))))</f>
        <v/>
      </c>
      <c r="G255" s="12">
        <f>IF(ISNUMBER(F255),IFERROR(INDEX(Брони!$C$2:$C$500,MATCH(F255,Брони!$A$2:$A$500,0)),""),"")</f>
        <v/>
      </c>
      <c r="H255" s="10" t="n"/>
      <c r="I255" s="18" t="n"/>
      <c r="J255" s="12">
        <f>IF(AND(ISNUMBER(F255),I255&lt;&gt;""),IFERROR(IF(AND(INDEX(Брони!$F$2:$F$500,MATCH(F255,Брони!$A$2:$A$500,0))="Возвращена",I255&gt;INDEX(Брони!$E$2:$E$500,MATCH(F255,Брони!$A$2:$A$500,0))),"Да",""),""),"")</f>
        <v/>
      </c>
      <c r="K255" s="10" t="n"/>
      <c r="L255" s="14" t="n"/>
      <c r="M255" s="15">
        <f>IF(OR(A255="",B255=""),"",IF(AND(ISNUMBER(F255),H255&lt;&gt;"Компания"),D255+L255,0))</f>
        <v/>
      </c>
      <c r="N255" s="21">
        <f>SUMPRODUCT(MAX((Брони!$B$2:$B$500=B255)*((Брони!$F$2:$F$500="Выдана")+(Брони!$F$2:$F$500="Возвращена"))*(Брони!$D$2:$D$500&lt;=A255)*Брони!$D$2:$D$500))</f>
        <v/>
      </c>
      <c r="O255" s="19">
        <f>SUMPRODUCT((Брони!$B$2:$B$500=B255)*(Брони!$D$2:$D$500=N255)*((((Брони!$F$2:$F$500="Выдана")*NOW())+((Брони!$F$2:$F$500="Возвращена")*Брони!$E$2:$E$500))&gt;=A255)*Брони!$A$2:$A$500)</f>
        <v/>
      </c>
      <c r="P255" s="19">
        <f>SUMPRODUCT((Брони!$B$2:$B$500=B255)*(Брони!$D$2:$D$500=N255)*(((Брони!$F$2:$F$500="Выдана")+(Брони!$F$2:$F$500="Возвращена"))))</f>
        <v/>
      </c>
      <c r="Q255" s="10" t="n"/>
    </row>
    <row r="256">
      <c r="A256" s="11" t="n"/>
      <c r="B256" s="10" t="n"/>
      <c r="C256" s="10" t="n"/>
      <c r="D256" s="14" t="n"/>
      <c r="E256" s="10" t="n"/>
      <c r="F256" s="20">
        <f>IF(OR(A256="",B256=""),"",IF(OR(NOT(ISNUMBER(A256)),ISERROR(N256+O256+P256)),"Проверьте даты",IF(AND(N256&gt;0,P256&gt;1),"Дубль",IF(AND(N256&gt;0,O256&gt;0),O256,"Вне аренды"))))</f>
        <v/>
      </c>
      <c r="G256" s="12">
        <f>IF(ISNUMBER(F256),IFERROR(INDEX(Брони!$C$2:$C$500,MATCH(F256,Брони!$A$2:$A$500,0)),""),"")</f>
        <v/>
      </c>
      <c r="H256" s="10" t="n"/>
      <c r="I256" s="18" t="n"/>
      <c r="J256" s="12">
        <f>IF(AND(ISNUMBER(F256),I256&lt;&gt;""),IFERROR(IF(AND(INDEX(Брони!$F$2:$F$500,MATCH(F256,Брони!$A$2:$A$500,0))="Возвращена",I256&gt;INDEX(Брони!$E$2:$E$500,MATCH(F256,Брони!$A$2:$A$500,0))),"Да",""),""),"")</f>
        <v/>
      </c>
      <c r="K256" s="10" t="n"/>
      <c r="L256" s="14" t="n"/>
      <c r="M256" s="15">
        <f>IF(OR(A256="",B256=""),"",IF(AND(ISNUMBER(F256),H256&lt;&gt;"Компания"),D256+L256,0))</f>
        <v/>
      </c>
      <c r="N256" s="21">
        <f>SUMPRODUCT(MAX((Брони!$B$2:$B$500=B256)*((Брони!$F$2:$F$500="Выдана")+(Брони!$F$2:$F$500="Возвращена"))*(Брони!$D$2:$D$500&lt;=A256)*Брони!$D$2:$D$500))</f>
        <v/>
      </c>
      <c r="O256" s="19">
        <f>SUMPRODUCT((Брони!$B$2:$B$500=B256)*(Брони!$D$2:$D$500=N256)*((((Брони!$F$2:$F$500="Выдана")*NOW())+((Брони!$F$2:$F$500="Возвращена")*Брони!$E$2:$E$500))&gt;=A256)*Брони!$A$2:$A$500)</f>
        <v/>
      </c>
      <c r="P256" s="19">
        <f>SUMPRODUCT((Брони!$B$2:$B$500=B256)*(Брони!$D$2:$D$500=N256)*(((Брони!$F$2:$F$500="Выдана")+(Брони!$F$2:$F$500="Возвращена"))))</f>
        <v/>
      </c>
      <c r="Q256" s="10" t="n"/>
    </row>
    <row r="257">
      <c r="A257" s="11" t="n"/>
      <c r="B257" s="10" t="n"/>
      <c r="C257" s="10" t="n"/>
      <c r="D257" s="14" t="n"/>
      <c r="E257" s="10" t="n"/>
      <c r="F257" s="20">
        <f>IF(OR(A257="",B257=""),"",IF(OR(NOT(ISNUMBER(A257)),ISERROR(N257+O257+P257)),"Проверьте даты",IF(AND(N257&gt;0,P257&gt;1),"Дубль",IF(AND(N257&gt;0,O257&gt;0),O257,"Вне аренды"))))</f>
        <v/>
      </c>
      <c r="G257" s="12">
        <f>IF(ISNUMBER(F257),IFERROR(INDEX(Брони!$C$2:$C$500,MATCH(F257,Брони!$A$2:$A$500,0)),""),"")</f>
        <v/>
      </c>
      <c r="H257" s="10" t="n"/>
      <c r="I257" s="18" t="n"/>
      <c r="J257" s="12">
        <f>IF(AND(ISNUMBER(F257),I257&lt;&gt;""),IFERROR(IF(AND(INDEX(Брони!$F$2:$F$500,MATCH(F257,Брони!$A$2:$A$500,0))="Возвращена",I257&gt;INDEX(Брони!$E$2:$E$500,MATCH(F257,Брони!$A$2:$A$500,0))),"Да",""),""),"")</f>
        <v/>
      </c>
      <c r="K257" s="10" t="n"/>
      <c r="L257" s="14" t="n"/>
      <c r="M257" s="15">
        <f>IF(OR(A257="",B257=""),"",IF(AND(ISNUMBER(F257),H257&lt;&gt;"Компания"),D257+L257,0))</f>
        <v/>
      </c>
      <c r="N257" s="21">
        <f>SUMPRODUCT(MAX((Брони!$B$2:$B$500=B257)*((Брони!$F$2:$F$500="Выдана")+(Брони!$F$2:$F$500="Возвращена"))*(Брони!$D$2:$D$500&lt;=A257)*Брони!$D$2:$D$500))</f>
        <v/>
      </c>
      <c r="O257" s="19">
        <f>SUMPRODUCT((Брони!$B$2:$B$500=B257)*(Брони!$D$2:$D$500=N257)*((((Брони!$F$2:$F$500="Выдана")*NOW())+((Брони!$F$2:$F$500="Возвращена")*Брони!$E$2:$E$500))&gt;=A257)*Брони!$A$2:$A$500)</f>
        <v/>
      </c>
      <c r="P257" s="19">
        <f>SUMPRODUCT((Брони!$B$2:$B$500=B257)*(Брони!$D$2:$D$500=N257)*(((Брони!$F$2:$F$500="Выдана")+(Брони!$F$2:$F$500="Возвращена"))))</f>
        <v/>
      </c>
      <c r="Q257" s="10" t="n"/>
    </row>
    <row r="258">
      <c r="A258" s="11" t="n"/>
      <c r="B258" s="10" t="n"/>
      <c r="C258" s="10" t="n"/>
      <c r="D258" s="14" t="n"/>
      <c r="E258" s="10" t="n"/>
      <c r="F258" s="20">
        <f>IF(OR(A258="",B258=""),"",IF(OR(NOT(ISNUMBER(A258)),ISERROR(N258+O258+P258)),"Проверьте даты",IF(AND(N258&gt;0,P258&gt;1),"Дубль",IF(AND(N258&gt;0,O258&gt;0),O258,"Вне аренды"))))</f>
        <v/>
      </c>
      <c r="G258" s="12">
        <f>IF(ISNUMBER(F258),IFERROR(INDEX(Брони!$C$2:$C$500,MATCH(F258,Брони!$A$2:$A$500,0)),""),"")</f>
        <v/>
      </c>
      <c r="H258" s="10" t="n"/>
      <c r="I258" s="18" t="n"/>
      <c r="J258" s="12">
        <f>IF(AND(ISNUMBER(F258),I258&lt;&gt;""),IFERROR(IF(AND(INDEX(Брони!$F$2:$F$500,MATCH(F258,Брони!$A$2:$A$500,0))="Возвращена",I258&gt;INDEX(Брони!$E$2:$E$500,MATCH(F258,Брони!$A$2:$A$500,0))),"Да",""),""),"")</f>
        <v/>
      </c>
      <c r="K258" s="10" t="n"/>
      <c r="L258" s="14" t="n"/>
      <c r="M258" s="15">
        <f>IF(OR(A258="",B258=""),"",IF(AND(ISNUMBER(F258),H258&lt;&gt;"Компания"),D258+L258,0))</f>
        <v/>
      </c>
      <c r="N258" s="21">
        <f>SUMPRODUCT(MAX((Брони!$B$2:$B$500=B258)*((Брони!$F$2:$F$500="Выдана")+(Брони!$F$2:$F$500="Возвращена"))*(Брони!$D$2:$D$500&lt;=A258)*Брони!$D$2:$D$500))</f>
        <v/>
      </c>
      <c r="O258" s="19">
        <f>SUMPRODUCT((Брони!$B$2:$B$500=B258)*(Брони!$D$2:$D$500=N258)*((((Брони!$F$2:$F$500="Выдана")*NOW())+((Брони!$F$2:$F$500="Возвращена")*Брони!$E$2:$E$500))&gt;=A258)*Брони!$A$2:$A$500)</f>
        <v/>
      </c>
      <c r="P258" s="19">
        <f>SUMPRODUCT((Брони!$B$2:$B$500=B258)*(Брони!$D$2:$D$500=N258)*(((Брони!$F$2:$F$500="Выдана")+(Брони!$F$2:$F$500="Возвращена"))))</f>
        <v/>
      </c>
      <c r="Q258" s="10" t="n"/>
    </row>
    <row r="259">
      <c r="A259" s="11" t="n"/>
      <c r="B259" s="10" t="n"/>
      <c r="C259" s="10" t="n"/>
      <c r="D259" s="14" t="n"/>
      <c r="E259" s="10" t="n"/>
      <c r="F259" s="20">
        <f>IF(OR(A259="",B259=""),"",IF(OR(NOT(ISNUMBER(A259)),ISERROR(N259+O259+P259)),"Проверьте даты",IF(AND(N259&gt;0,P259&gt;1),"Дубль",IF(AND(N259&gt;0,O259&gt;0),O259,"Вне аренды"))))</f>
        <v/>
      </c>
      <c r="G259" s="12">
        <f>IF(ISNUMBER(F259),IFERROR(INDEX(Брони!$C$2:$C$500,MATCH(F259,Брони!$A$2:$A$500,0)),""),"")</f>
        <v/>
      </c>
      <c r="H259" s="10" t="n"/>
      <c r="I259" s="18" t="n"/>
      <c r="J259" s="12">
        <f>IF(AND(ISNUMBER(F259),I259&lt;&gt;""),IFERROR(IF(AND(INDEX(Брони!$F$2:$F$500,MATCH(F259,Брони!$A$2:$A$500,0))="Возвращена",I259&gt;INDEX(Брони!$E$2:$E$500,MATCH(F259,Брони!$A$2:$A$500,0))),"Да",""),""),"")</f>
        <v/>
      </c>
      <c r="K259" s="10" t="n"/>
      <c r="L259" s="14" t="n"/>
      <c r="M259" s="15">
        <f>IF(OR(A259="",B259=""),"",IF(AND(ISNUMBER(F259),H259&lt;&gt;"Компания"),D259+L259,0))</f>
        <v/>
      </c>
      <c r="N259" s="21">
        <f>SUMPRODUCT(MAX((Брони!$B$2:$B$500=B259)*((Брони!$F$2:$F$500="Выдана")+(Брони!$F$2:$F$500="Возвращена"))*(Брони!$D$2:$D$500&lt;=A259)*Брони!$D$2:$D$500))</f>
        <v/>
      </c>
      <c r="O259" s="19">
        <f>SUMPRODUCT((Брони!$B$2:$B$500=B259)*(Брони!$D$2:$D$500=N259)*((((Брони!$F$2:$F$500="Выдана")*NOW())+((Брони!$F$2:$F$500="Возвращена")*Брони!$E$2:$E$500))&gt;=A259)*Брони!$A$2:$A$500)</f>
        <v/>
      </c>
      <c r="P259" s="19">
        <f>SUMPRODUCT((Брони!$B$2:$B$500=B259)*(Брони!$D$2:$D$500=N259)*(((Брони!$F$2:$F$500="Выдана")+(Брони!$F$2:$F$500="Возвращена"))))</f>
        <v/>
      </c>
      <c r="Q259" s="10" t="n"/>
    </row>
    <row r="260">
      <c r="A260" s="11" t="n"/>
      <c r="B260" s="10" t="n"/>
      <c r="C260" s="10" t="n"/>
      <c r="D260" s="14" t="n"/>
      <c r="E260" s="10" t="n"/>
      <c r="F260" s="20">
        <f>IF(OR(A260="",B260=""),"",IF(OR(NOT(ISNUMBER(A260)),ISERROR(N260+O260+P260)),"Проверьте даты",IF(AND(N260&gt;0,P260&gt;1),"Дубль",IF(AND(N260&gt;0,O260&gt;0),O260,"Вне аренды"))))</f>
        <v/>
      </c>
      <c r="G260" s="12">
        <f>IF(ISNUMBER(F260),IFERROR(INDEX(Брони!$C$2:$C$500,MATCH(F260,Брони!$A$2:$A$500,0)),""),"")</f>
        <v/>
      </c>
      <c r="H260" s="10" t="n"/>
      <c r="I260" s="18" t="n"/>
      <c r="J260" s="12">
        <f>IF(AND(ISNUMBER(F260),I260&lt;&gt;""),IFERROR(IF(AND(INDEX(Брони!$F$2:$F$500,MATCH(F260,Брони!$A$2:$A$500,0))="Возвращена",I260&gt;INDEX(Брони!$E$2:$E$500,MATCH(F260,Брони!$A$2:$A$500,0))),"Да",""),""),"")</f>
        <v/>
      </c>
      <c r="K260" s="10" t="n"/>
      <c r="L260" s="14" t="n"/>
      <c r="M260" s="15">
        <f>IF(OR(A260="",B260=""),"",IF(AND(ISNUMBER(F260),H260&lt;&gt;"Компания"),D260+L260,0))</f>
        <v/>
      </c>
      <c r="N260" s="21">
        <f>SUMPRODUCT(MAX((Брони!$B$2:$B$500=B260)*((Брони!$F$2:$F$500="Выдана")+(Брони!$F$2:$F$500="Возвращена"))*(Брони!$D$2:$D$500&lt;=A260)*Брони!$D$2:$D$500))</f>
        <v/>
      </c>
      <c r="O260" s="19">
        <f>SUMPRODUCT((Брони!$B$2:$B$500=B260)*(Брони!$D$2:$D$500=N260)*((((Брони!$F$2:$F$500="Выдана")*NOW())+((Брони!$F$2:$F$500="Возвращена")*Брони!$E$2:$E$500))&gt;=A260)*Брони!$A$2:$A$500)</f>
        <v/>
      </c>
      <c r="P260" s="19">
        <f>SUMPRODUCT((Брони!$B$2:$B$500=B260)*(Брони!$D$2:$D$500=N260)*(((Брони!$F$2:$F$500="Выдана")+(Брони!$F$2:$F$500="Возвращена"))))</f>
        <v/>
      </c>
      <c r="Q260" s="10" t="n"/>
    </row>
    <row r="261">
      <c r="A261" s="11" t="n"/>
      <c r="B261" s="10" t="n"/>
      <c r="C261" s="10" t="n"/>
      <c r="D261" s="14" t="n"/>
      <c r="E261" s="10" t="n"/>
      <c r="F261" s="20">
        <f>IF(OR(A261="",B261=""),"",IF(OR(NOT(ISNUMBER(A261)),ISERROR(N261+O261+P261)),"Проверьте даты",IF(AND(N261&gt;0,P261&gt;1),"Дубль",IF(AND(N261&gt;0,O261&gt;0),O261,"Вне аренды"))))</f>
        <v/>
      </c>
      <c r="G261" s="12">
        <f>IF(ISNUMBER(F261),IFERROR(INDEX(Брони!$C$2:$C$500,MATCH(F261,Брони!$A$2:$A$500,0)),""),"")</f>
        <v/>
      </c>
      <c r="H261" s="10" t="n"/>
      <c r="I261" s="18" t="n"/>
      <c r="J261" s="12">
        <f>IF(AND(ISNUMBER(F261),I261&lt;&gt;""),IFERROR(IF(AND(INDEX(Брони!$F$2:$F$500,MATCH(F261,Брони!$A$2:$A$500,0))="Возвращена",I261&gt;INDEX(Брони!$E$2:$E$500,MATCH(F261,Брони!$A$2:$A$500,0))),"Да",""),""),"")</f>
        <v/>
      </c>
      <c r="K261" s="10" t="n"/>
      <c r="L261" s="14" t="n"/>
      <c r="M261" s="15">
        <f>IF(OR(A261="",B261=""),"",IF(AND(ISNUMBER(F261),H261&lt;&gt;"Компания"),D261+L261,0))</f>
        <v/>
      </c>
      <c r="N261" s="21">
        <f>SUMPRODUCT(MAX((Брони!$B$2:$B$500=B261)*((Брони!$F$2:$F$500="Выдана")+(Брони!$F$2:$F$500="Возвращена"))*(Брони!$D$2:$D$500&lt;=A261)*Брони!$D$2:$D$500))</f>
        <v/>
      </c>
      <c r="O261" s="19">
        <f>SUMPRODUCT((Брони!$B$2:$B$500=B261)*(Брони!$D$2:$D$500=N261)*((((Брони!$F$2:$F$500="Выдана")*NOW())+((Брони!$F$2:$F$500="Возвращена")*Брони!$E$2:$E$500))&gt;=A261)*Брони!$A$2:$A$500)</f>
        <v/>
      </c>
      <c r="P261" s="19">
        <f>SUMPRODUCT((Брони!$B$2:$B$500=B261)*(Брони!$D$2:$D$500=N261)*(((Брони!$F$2:$F$500="Выдана")+(Брони!$F$2:$F$500="Возвращена"))))</f>
        <v/>
      </c>
      <c r="Q261" s="10" t="n"/>
    </row>
    <row r="262">
      <c r="A262" s="11" t="n"/>
      <c r="B262" s="10" t="n"/>
      <c r="C262" s="10" t="n"/>
      <c r="D262" s="14" t="n"/>
      <c r="E262" s="10" t="n"/>
      <c r="F262" s="20">
        <f>IF(OR(A262="",B262=""),"",IF(OR(NOT(ISNUMBER(A262)),ISERROR(N262+O262+P262)),"Проверьте даты",IF(AND(N262&gt;0,P262&gt;1),"Дубль",IF(AND(N262&gt;0,O262&gt;0),O262,"Вне аренды"))))</f>
        <v/>
      </c>
      <c r="G262" s="12">
        <f>IF(ISNUMBER(F262),IFERROR(INDEX(Брони!$C$2:$C$500,MATCH(F262,Брони!$A$2:$A$500,0)),""),"")</f>
        <v/>
      </c>
      <c r="H262" s="10" t="n"/>
      <c r="I262" s="18" t="n"/>
      <c r="J262" s="12">
        <f>IF(AND(ISNUMBER(F262),I262&lt;&gt;""),IFERROR(IF(AND(INDEX(Брони!$F$2:$F$500,MATCH(F262,Брони!$A$2:$A$500,0))="Возвращена",I262&gt;INDEX(Брони!$E$2:$E$500,MATCH(F262,Брони!$A$2:$A$500,0))),"Да",""),""),"")</f>
        <v/>
      </c>
      <c r="K262" s="10" t="n"/>
      <c r="L262" s="14" t="n"/>
      <c r="M262" s="15">
        <f>IF(OR(A262="",B262=""),"",IF(AND(ISNUMBER(F262),H262&lt;&gt;"Компания"),D262+L262,0))</f>
        <v/>
      </c>
      <c r="N262" s="21">
        <f>SUMPRODUCT(MAX((Брони!$B$2:$B$500=B262)*((Брони!$F$2:$F$500="Выдана")+(Брони!$F$2:$F$500="Возвращена"))*(Брони!$D$2:$D$500&lt;=A262)*Брони!$D$2:$D$500))</f>
        <v/>
      </c>
      <c r="O262" s="19">
        <f>SUMPRODUCT((Брони!$B$2:$B$500=B262)*(Брони!$D$2:$D$500=N262)*((((Брони!$F$2:$F$500="Выдана")*NOW())+((Брони!$F$2:$F$500="Возвращена")*Брони!$E$2:$E$500))&gt;=A262)*Брони!$A$2:$A$500)</f>
        <v/>
      </c>
      <c r="P262" s="19">
        <f>SUMPRODUCT((Брони!$B$2:$B$500=B262)*(Брони!$D$2:$D$500=N262)*(((Брони!$F$2:$F$500="Выдана")+(Брони!$F$2:$F$500="Возвращена"))))</f>
        <v/>
      </c>
      <c r="Q262" s="10" t="n"/>
    </row>
    <row r="263">
      <c r="A263" s="11" t="n"/>
      <c r="B263" s="10" t="n"/>
      <c r="C263" s="10" t="n"/>
      <c r="D263" s="14" t="n"/>
      <c r="E263" s="10" t="n"/>
      <c r="F263" s="20">
        <f>IF(OR(A263="",B263=""),"",IF(OR(NOT(ISNUMBER(A263)),ISERROR(N263+O263+P263)),"Проверьте даты",IF(AND(N263&gt;0,P263&gt;1),"Дубль",IF(AND(N263&gt;0,O263&gt;0),O263,"Вне аренды"))))</f>
        <v/>
      </c>
      <c r="G263" s="12">
        <f>IF(ISNUMBER(F263),IFERROR(INDEX(Брони!$C$2:$C$500,MATCH(F263,Брони!$A$2:$A$500,0)),""),"")</f>
        <v/>
      </c>
      <c r="H263" s="10" t="n"/>
      <c r="I263" s="18" t="n"/>
      <c r="J263" s="12">
        <f>IF(AND(ISNUMBER(F263),I263&lt;&gt;""),IFERROR(IF(AND(INDEX(Брони!$F$2:$F$500,MATCH(F263,Брони!$A$2:$A$500,0))="Возвращена",I263&gt;INDEX(Брони!$E$2:$E$500,MATCH(F263,Брони!$A$2:$A$500,0))),"Да",""),""),"")</f>
        <v/>
      </c>
      <c r="K263" s="10" t="n"/>
      <c r="L263" s="14" t="n"/>
      <c r="M263" s="15">
        <f>IF(OR(A263="",B263=""),"",IF(AND(ISNUMBER(F263),H263&lt;&gt;"Компания"),D263+L263,0))</f>
        <v/>
      </c>
      <c r="N263" s="21">
        <f>SUMPRODUCT(MAX((Брони!$B$2:$B$500=B263)*((Брони!$F$2:$F$500="Выдана")+(Брони!$F$2:$F$500="Возвращена"))*(Брони!$D$2:$D$500&lt;=A263)*Брони!$D$2:$D$500))</f>
        <v/>
      </c>
      <c r="O263" s="19">
        <f>SUMPRODUCT((Брони!$B$2:$B$500=B263)*(Брони!$D$2:$D$500=N263)*((((Брони!$F$2:$F$500="Выдана")*NOW())+((Брони!$F$2:$F$500="Возвращена")*Брони!$E$2:$E$500))&gt;=A263)*Брони!$A$2:$A$500)</f>
        <v/>
      </c>
      <c r="P263" s="19">
        <f>SUMPRODUCT((Брони!$B$2:$B$500=B263)*(Брони!$D$2:$D$500=N263)*(((Брони!$F$2:$F$500="Выдана")+(Брони!$F$2:$F$500="Возвращена"))))</f>
        <v/>
      </c>
      <c r="Q263" s="10" t="n"/>
    </row>
    <row r="264">
      <c r="A264" s="11" t="n"/>
      <c r="B264" s="10" t="n"/>
      <c r="C264" s="10" t="n"/>
      <c r="D264" s="14" t="n"/>
      <c r="E264" s="10" t="n"/>
      <c r="F264" s="20">
        <f>IF(OR(A264="",B264=""),"",IF(OR(NOT(ISNUMBER(A264)),ISERROR(N264+O264+P264)),"Проверьте даты",IF(AND(N264&gt;0,P264&gt;1),"Дубль",IF(AND(N264&gt;0,O264&gt;0),O264,"Вне аренды"))))</f>
        <v/>
      </c>
      <c r="G264" s="12">
        <f>IF(ISNUMBER(F264),IFERROR(INDEX(Брони!$C$2:$C$500,MATCH(F264,Брони!$A$2:$A$500,0)),""),"")</f>
        <v/>
      </c>
      <c r="H264" s="10" t="n"/>
      <c r="I264" s="18" t="n"/>
      <c r="J264" s="12">
        <f>IF(AND(ISNUMBER(F264),I264&lt;&gt;""),IFERROR(IF(AND(INDEX(Брони!$F$2:$F$500,MATCH(F264,Брони!$A$2:$A$500,0))="Возвращена",I264&gt;INDEX(Брони!$E$2:$E$500,MATCH(F264,Брони!$A$2:$A$500,0))),"Да",""),""),"")</f>
        <v/>
      </c>
      <c r="K264" s="10" t="n"/>
      <c r="L264" s="14" t="n"/>
      <c r="M264" s="15">
        <f>IF(OR(A264="",B264=""),"",IF(AND(ISNUMBER(F264),H264&lt;&gt;"Компания"),D264+L264,0))</f>
        <v/>
      </c>
      <c r="N264" s="21">
        <f>SUMPRODUCT(MAX((Брони!$B$2:$B$500=B264)*((Брони!$F$2:$F$500="Выдана")+(Брони!$F$2:$F$500="Возвращена"))*(Брони!$D$2:$D$500&lt;=A264)*Брони!$D$2:$D$500))</f>
        <v/>
      </c>
      <c r="O264" s="19">
        <f>SUMPRODUCT((Брони!$B$2:$B$500=B264)*(Брони!$D$2:$D$500=N264)*((((Брони!$F$2:$F$500="Выдана")*NOW())+((Брони!$F$2:$F$500="Возвращена")*Брони!$E$2:$E$500))&gt;=A264)*Брони!$A$2:$A$500)</f>
        <v/>
      </c>
      <c r="P264" s="19">
        <f>SUMPRODUCT((Брони!$B$2:$B$500=B264)*(Брони!$D$2:$D$500=N264)*(((Брони!$F$2:$F$500="Выдана")+(Брони!$F$2:$F$500="Возвращена"))))</f>
        <v/>
      </c>
      <c r="Q264" s="10" t="n"/>
    </row>
    <row r="265">
      <c r="A265" s="11" t="n"/>
      <c r="B265" s="10" t="n"/>
      <c r="C265" s="10" t="n"/>
      <c r="D265" s="14" t="n"/>
      <c r="E265" s="10" t="n"/>
      <c r="F265" s="20">
        <f>IF(OR(A265="",B265=""),"",IF(OR(NOT(ISNUMBER(A265)),ISERROR(N265+O265+P265)),"Проверьте даты",IF(AND(N265&gt;0,P265&gt;1),"Дубль",IF(AND(N265&gt;0,O265&gt;0),O265,"Вне аренды"))))</f>
        <v/>
      </c>
      <c r="G265" s="12">
        <f>IF(ISNUMBER(F265),IFERROR(INDEX(Брони!$C$2:$C$500,MATCH(F265,Брони!$A$2:$A$500,0)),""),"")</f>
        <v/>
      </c>
      <c r="H265" s="10" t="n"/>
      <c r="I265" s="18" t="n"/>
      <c r="J265" s="12">
        <f>IF(AND(ISNUMBER(F265),I265&lt;&gt;""),IFERROR(IF(AND(INDEX(Брони!$F$2:$F$500,MATCH(F265,Брони!$A$2:$A$500,0))="Возвращена",I265&gt;INDEX(Брони!$E$2:$E$500,MATCH(F265,Брони!$A$2:$A$500,0))),"Да",""),""),"")</f>
        <v/>
      </c>
      <c r="K265" s="10" t="n"/>
      <c r="L265" s="14" t="n"/>
      <c r="M265" s="15">
        <f>IF(OR(A265="",B265=""),"",IF(AND(ISNUMBER(F265),H265&lt;&gt;"Компания"),D265+L265,0))</f>
        <v/>
      </c>
      <c r="N265" s="21">
        <f>SUMPRODUCT(MAX((Брони!$B$2:$B$500=B265)*((Брони!$F$2:$F$500="Выдана")+(Брони!$F$2:$F$500="Возвращена"))*(Брони!$D$2:$D$500&lt;=A265)*Брони!$D$2:$D$500))</f>
        <v/>
      </c>
      <c r="O265" s="19">
        <f>SUMPRODUCT((Брони!$B$2:$B$500=B265)*(Брони!$D$2:$D$500=N265)*((((Брони!$F$2:$F$500="Выдана")*NOW())+((Брони!$F$2:$F$500="Возвращена")*Брони!$E$2:$E$500))&gt;=A265)*Брони!$A$2:$A$500)</f>
        <v/>
      </c>
      <c r="P265" s="19">
        <f>SUMPRODUCT((Брони!$B$2:$B$500=B265)*(Брони!$D$2:$D$500=N265)*(((Брони!$F$2:$F$500="Выдана")+(Брони!$F$2:$F$500="Возвращена"))))</f>
        <v/>
      </c>
      <c r="Q265" s="10" t="n"/>
    </row>
    <row r="266">
      <c r="A266" s="11" t="n"/>
      <c r="B266" s="10" t="n"/>
      <c r="C266" s="10" t="n"/>
      <c r="D266" s="14" t="n"/>
      <c r="E266" s="10" t="n"/>
      <c r="F266" s="20">
        <f>IF(OR(A266="",B266=""),"",IF(OR(NOT(ISNUMBER(A266)),ISERROR(N266+O266+P266)),"Проверьте даты",IF(AND(N266&gt;0,P266&gt;1),"Дубль",IF(AND(N266&gt;0,O266&gt;0),O266,"Вне аренды"))))</f>
        <v/>
      </c>
      <c r="G266" s="12">
        <f>IF(ISNUMBER(F266),IFERROR(INDEX(Брони!$C$2:$C$500,MATCH(F266,Брони!$A$2:$A$500,0)),""),"")</f>
        <v/>
      </c>
      <c r="H266" s="10" t="n"/>
      <c r="I266" s="18" t="n"/>
      <c r="J266" s="12">
        <f>IF(AND(ISNUMBER(F266),I266&lt;&gt;""),IFERROR(IF(AND(INDEX(Брони!$F$2:$F$500,MATCH(F266,Брони!$A$2:$A$500,0))="Возвращена",I266&gt;INDEX(Брони!$E$2:$E$500,MATCH(F266,Брони!$A$2:$A$500,0))),"Да",""),""),"")</f>
        <v/>
      </c>
      <c r="K266" s="10" t="n"/>
      <c r="L266" s="14" t="n"/>
      <c r="M266" s="15">
        <f>IF(OR(A266="",B266=""),"",IF(AND(ISNUMBER(F266),H266&lt;&gt;"Компания"),D266+L266,0))</f>
        <v/>
      </c>
      <c r="N266" s="21">
        <f>SUMPRODUCT(MAX((Брони!$B$2:$B$500=B266)*((Брони!$F$2:$F$500="Выдана")+(Брони!$F$2:$F$500="Возвращена"))*(Брони!$D$2:$D$500&lt;=A266)*Брони!$D$2:$D$500))</f>
        <v/>
      </c>
      <c r="O266" s="19">
        <f>SUMPRODUCT((Брони!$B$2:$B$500=B266)*(Брони!$D$2:$D$500=N266)*((((Брони!$F$2:$F$500="Выдана")*NOW())+((Брони!$F$2:$F$500="Возвращена")*Брони!$E$2:$E$500))&gt;=A266)*Брони!$A$2:$A$500)</f>
        <v/>
      </c>
      <c r="P266" s="19">
        <f>SUMPRODUCT((Брони!$B$2:$B$500=B266)*(Брони!$D$2:$D$500=N266)*(((Брони!$F$2:$F$500="Выдана")+(Брони!$F$2:$F$500="Возвращена"))))</f>
        <v/>
      </c>
      <c r="Q266" s="10" t="n"/>
    </row>
    <row r="267">
      <c r="A267" s="11" t="n"/>
      <c r="B267" s="10" t="n"/>
      <c r="C267" s="10" t="n"/>
      <c r="D267" s="14" t="n"/>
      <c r="E267" s="10" t="n"/>
      <c r="F267" s="20">
        <f>IF(OR(A267="",B267=""),"",IF(OR(NOT(ISNUMBER(A267)),ISERROR(N267+O267+P267)),"Проверьте даты",IF(AND(N267&gt;0,P267&gt;1),"Дубль",IF(AND(N267&gt;0,O267&gt;0),O267,"Вне аренды"))))</f>
        <v/>
      </c>
      <c r="G267" s="12">
        <f>IF(ISNUMBER(F267),IFERROR(INDEX(Брони!$C$2:$C$500,MATCH(F267,Брони!$A$2:$A$500,0)),""),"")</f>
        <v/>
      </c>
      <c r="H267" s="10" t="n"/>
      <c r="I267" s="18" t="n"/>
      <c r="J267" s="12">
        <f>IF(AND(ISNUMBER(F267),I267&lt;&gt;""),IFERROR(IF(AND(INDEX(Брони!$F$2:$F$500,MATCH(F267,Брони!$A$2:$A$500,0))="Возвращена",I267&gt;INDEX(Брони!$E$2:$E$500,MATCH(F267,Брони!$A$2:$A$500,0))),"Да",""),""),"")</f>
        <v/>
      </c>
      <c r="K267" s="10" t="n"/>
      <c r="L267" s="14" t="n"/>
      <c r="M267" s="15">
        <f>IF(OR(A267="",B267=""),"",IF(AND(ISNUMBER(F267),H267&lt;&gt;"Компания"),D267+L267,0))</f>
        <v/>
      </c>
      <c r="N267" s="21">
        <f>SUMPRODUCT(MAX((Брони!$B$2:$B$500=B267)*((Брони!$F$2:$F$500="Выдана")+(Брони!$F$2:$F$500="Возвращена"))*(Брони!$D$2:$D$500&lt;=A267)*Брони!$D$2:$D$500))</f>
        <v/>
      </c>
      <c r="O267" s="19">
        <f>SUMPRODUCT((Брони!$B$2:$B$500=B267)*(Брони!$D$2:$D$500=N267)*((((Брони!$F$2:$F$500="Выдана")*NOW())+((Брони!$F$2:$F$500="Возвращена")*Брони!$E$2:$E$500))&gt;=A267)*Брони!$A$2:$A$500)</f>
        <v/>
      </c>
      <c r="P267" s="19">
        <f>SUMPRODUCT((Брони!$B$2:$B$500=B267)*(Брони!$D$2:$D$500=N267)*(((Брони!$F$2:$F$500="Выдана")+(Брони!$F$2:$F$500="Возвращена"))))</f>
        <v/>
      </c>
      <c r="Q267" s="10" t="n"/>
    </row>
    <row r="268">
      <c r="A268" s="11" t="n"/>
      <c r="B268" s="10" t="n"/>
      <c r="C268" s="10" t="n"/>
      <c r="D268" s="14" t="n"/>
      <c r="E268" s="10" t="n"/>
      <c r="F268" s="20">
        <f>IF(OR(A268="",B268=""),"",IF(OR(NOT(ISNUMBER(A268)),ISERROR(N268+O268+P268)),"Проверьте даты",IF(AND(N268&gt;0,P268&gt;1),"Дубль",IF(AND(N268&gt;0,O268&gt;0),O268,"Вне аренды"))))</f>
        <v/>
      </c>
      <c r="G268" s="12">
        <f>IF(ISNUMBER(F268),IFERROR(INDEX(Брони!$C$2:$C$500,MATCH(F268,Брони!$A$2:$A$500,0)),""),"")</f>
        <v/>
      </c>
      <c r="H268" s="10" t="n"/>
      <c r="I268" s="18" t="n"/>
      <c r="J268" s="12">
        <f>IF(AND(ISNUMBER(F268),I268&lt;&gt;""),IFERROR(IF(AND(INDEX(Брони!$F$2:$F$500,MATCH(F268,Брони!$A$2:$A$500,0))="Возвращена",I268&gt;INDEX(Брони!$E$2:$E$500,MATCH(F268,Брони!$A$2:$A$500,0))),"Да",""),""),"")</f>
        <v/>
      </c>
      <c r="K268" s="10" t="n"/>
      <c r="L268" s="14" t="n"/>
      <c r="M268" s="15">
        <f>IF(OR(A268="",B268=""),"",IF(AND(ISNUMBER(F268),H268&lt;&gt;"Компания"),D268+L268,0))</f>
        <v/>
      </c>
      <c r="N268" s="21">
        <f>SUMPRODUCT(MAX((Брони!$B$2:$B$500=B268)*((Брони!$F$2:$F$500="Выдана")+(Брони!$F$2:$F$500="Возвращена"))*(Брони!$D$2:$D$500&lt;=A268)*Брони!$D$2:$D$500))</f>
        <v/>
      </c>
      <c r="O268" s="19">
        <f>SUMPRODUCT((Брони!$B$2:$B$500=B268)*(Брони!$D$2:$D$500=N268)*((((Брони!$F$2:$F$500="Выдана")*NOW())+((Брони!$F$2:$F$500="Возвращена")*Брони!$E$2:$E$500))&gt;=A268)*Брони!$A$2:$A$500)</f>
        <v/>
      </c>
      <c r="P268" s="19">
        <f>SUMPRODUCT((Брони!$B$2:$B$500=B268)*(Брони!$D$2:$D$500=N268)*(((Брони!$F$2:$F$500="Выдана")+(Брони!$F$2:$F$500="Возвращена"))))</f>
        <v/>
      </c>
      <c r="Q268" s="10" t="n"/>
    </row>
    <row r="269">
      <c r="A269" s="11" t="n"/>
      <c r="B269" s="10" t="n"/>
      <c r="C269" s="10" t="n"/>
      <c r="D269" s="14" t="n"/>
      <c r="E269" s="10" t="n"/>
      <c r="F269" s="20">
        <f>IF(OR(A269="",B269=""),"",IF(OR(NOT(ISNUMBER(A269)),ISERROR(N269+O269+P269)),"Проверьте даты",IF(AND(N269&gt;0,P269&gt;1),"Дубль",IF(AND(N269&gt;0,O269&gt;0),O269,"Вне аренды"))))</f>
        <v/>
      </c>
      <c r="G269" s="12">
        <f>IF(ISNUMBER(F269),IFERROR(INDEX(Брони!$C$2:$C$500,MATCH(F269,Брони!$A$2:$A$500,0)),""),"")</f>
        <v/>
      </c>
      <c r="H269" s="10" t="n"/>
      <c r="I269" s="18" t="n"/>
      <c r="J269" s="12">
        <f>IF(AND(ISNUMBER(F269),I269&lt;&gt;""),IFERROR(IF(AND(INDEX(Брони!$F$2:$F$500,MATCH(F269,Брони!$A$2:$A$500,0))="Возвращена",I269&gt;INDEX(Брони!$E$2:$E$500,MATCH(F269,Брони!$A$2:$A$500,0))),"Да",""),""),"")</f>
        <v/>
      </c>
      <c r="K269" s="10" t="n"/>
      <c r="L269" s="14" t="n"/>
      <c r="M269" s="15">
        <f>IF(OR(A269="",B269=""),"",IF(AND(ISNUMBER(F269),H269&lt;&gt;"Компания"),D269+L269,0))</f>
        <v/>
      </c>
      <c r="N269" s="21">
        <f>SUMPRODUCT(MAX((Брони!$B$2:$B$500=B269)*((Брони!$F$2:$F$500="Выдана")+(Брони!$F$2:$F$500="Возвращена"))*(Брони!$D$2:$D$500&lt;=A269)*Брони!$D$2:$D$500))</f>
        <v/>
      </c>
      <c r="O269" s="19">
        <f>SUMPRODUCT((Брони!$B$2:$B$500=B269)*(Брони!$D$2:$D$500=N269)*((((Брони!$F$2:$F$500="Выдана")*NOW())+((Брони!$F$2:$F$500="Возвращена")*Брони!$E$2:$E$500))&gt;=A269)*Брони!$A$2:$A$500)</f>
        <v/>
      </c>
      <c r="P269" s="19">
        <f>SUMPRODUCT((Брони!$B$2:$B$500=B269)*(Брони!$D$2:$D$500=N269)*(((Брони!$F$2:$F$500="Выдана")+(Брони!$F$2:$F$500="Возвращена"))))</f>
        <v/>
      </c>
      <c r="Q269" s="10" t="n"/>
    </row>
    <row r="270">
      <c r="A270" s="11" t="n"/>
      <c r="B270" s="10" t="n"/>
      <c r="C270" s="10" t="n"/>
      <c r="D270" s="14" t="n"/>
      <c r="E270" s="10" t="n"/>
      <c r="F270" s="20">
        <f>IF(OR(A270="",B270=""),"",IF(OR(NOT(ISNUMBER(A270)),ISERROR(N270+O270+P270)),"Проверьте даты",IF(AND(N270&gt;0,P270&gt;1),"Дубль",IF(AND(N270&gt;0,O270&gt;0),O270,"Вне аренды"))))</f>
        <v/>
      </c>
      <c r="G270" s="12">
        <f>IF(ISNUMBER(F270),IFERROR(INDEX(Брони!$C$2:$C$500,MATCH(F270,Брони!$A$2:$A$500,0)),""),"")</f>
        <v/>
      </c>
      <c r="H270" s="10" t="n"/>
      <c r="I270" s="18" t="n"/>
      <c r="J270" s="12">
        <f>IF(AND(ISNUMBER(F270),I270&lt;&gt;""),IFERROR(IF(AND(INDEX(Брони!$F$2:$F$500,MATCH(F270,Брони!$A$2:$A$500,0))="Возвращена",I270&gt;INDEX(Брони!$E$2:$E$500,MATCH(F270,Брони!$A$2:$A$500,0))),"Да",""),""),"")</f>
        <v/>
      </c>
      <c r="K270" s="10" t="n"/>
      <c r="L270" s="14" t="n"/>
      <c r="M270" s="15">
        <f>IF(OR(A270="",B270=""),"",IF(AND(ISNUMBER(F270),H270&lt;&gt;"Компания"),D270+L270,0))</f>
        <v/>
      </c>
      <c r="N270" s="21">
        <f>SUMPRODUCT(MAX((Брони!$B$2:$B$500=B270)*((Брони!$F$2:$F$500="Выдана")+(Брони!$F$2:$F$500="Возвращена"))*(Брони!$D$2:$D$500&lt;=A270)*Брони!$D$2:$D$500))</f>
        <v/>
      </c>
      <c r="O270" s="19">
        <f>SUMPRODUCT((Брони!$B$2:$B$500=B270)*(Брони!$D$2:$D$500=N270)*((((Брони!$F$2:$F$500="Выдана")*NOW())+((Брони!$F$2:$F$500="Возвращена")*Брони!$E$2:$E$500))&gt;=A270)*Брони!$A$2:$A$500)</f>
        <v/>
      </c>
      <c r="P270" s="19">
        <f>SUMPRODUCT((Брони!$B$2:$B$500=B270)*(Брони!$D$2:$D$500=N270)*(((Брони!$F$2:$F$500="Выдана")+(Брони!$F$2:$F$500="Возвращена"))))</f>
        <v/>
      </c>
      <c r="Q270" s="10" t="n"/>
    </row>
    <row r="271">
      <c r="A271" s="11" t="n"/>
      <c r="B271" s="10" t="n"/>
      <c r="C271" s="10" t="n"/>
      <c r="D271" s="14" t="n"/>
      <c r="E271" s="10" t="n"/>
      <c r="F271" s="20">
        <f>IF(OR(A271="",B271=""),"",IF(OR(NOT(ISNUMBER(A271)),ISERROR(N271+O271+P271)),"Проверьте даты",IF(AND(N271&gt;0,P271&gt;1),"Дубль",IF(AND(N271&gt;0,O271&gt;0),O271,"Вне аренды"))))</f>
        <v/>
      </c>
      <c r="G271" s="12">
        <f>IF(ISNUMBER(F271),IFERROR(INDEX(Брони!$C$2:$C$500,MATCH(F271,Брони!$A$2:$A$500,0)),""),"")</f>
        <v/>
      </c>
      <c r="H271" s="10" t="n"/>
      <c r="I271" s="18" t="n"/>
      <c r="J271" s="12">
        <f>IF(AND(ISNUMBER(F271),I271&lt;&gt;""),IFERROR(IF(AND(INDEX(Брони!$F$2:$F$500,MATCH(F271,Брони!$A$2:$A$500,0))="Возвращена",I271&gt;INDEX(Брони!$E$2:$E$500,MATCH(F271,Брони!$A$2:$A$500,0))),"Да",""),""),"")</f>
        <v/>
      </c>
      <c r="K271" s="10" t="n"/>
      <c r="L271" s="14" t="n"/>
      <c r="M271" s="15">
        <f>IF(OR(A271="",B271=""),"",IF(AND(ISNUMBER(F271),H271&lt;&gt;"Компания"),D271+L271,0))</f>
        <v/>
      </c>
      <c r="N271" s="21">
        <f>SUMPRODUCT(MAX((Брони!$B$2:$B$500=B271)*((Брони!$F$2:$F$500="Выдана")+(Брони!$F$2:$F$500="Возвращена"))*(Брони!$D$2:$D$500&lt;=A271)*Брони!$D$2:$D$500))</f>
        <v/>
      </c>
      <c r="O271" s="19">
        <f>SUMPRODUCT((Брони!$B$2:$B$500=B271)*(Брони!$D$2:$D$500=N271)*((((Брони!$F$2:$F$500="Выдана")*NOW())+((Брони!$F$2:$F$500="Возвращена")*Брони!$E$2:$E$500))&gt;=A271)*Брони!$A$2:$A$500)</f>
        <v/>
      </c>
      <c r="P271" s="19">
        <f>SUMPRODUCT((Брони!$B$2:$B$500=B271)*(Брони!$D$2:$D$500=N271)*(((Брони!$F$2:$F$500="Выдана")+(Брони!$F$2:$F$500="Возвращена"))))</f>
        <v/>
      </c>
      <c r="Q271" s="10" t="n"/>
    </row>
    <row r="272">
      <c r="A272" s="11" t="n"/>
      <c r="B272" s="10" t="n"/>
      <c r="C272" s="10" t="n"/>
      <c r="D272" s="14" t="n"/>
      <c r="E272" s="10" t="n"/>
      <c r="F272" s="20">
        <f>IF(OR(A272="",B272=""),"",IF(OR(NOT(ISNUMBER(A272)),ISERROR(N272+O272+P272)),"Проверьте даты",IF(AND(N272&gt;0,P272&gt;1),"Дубль",IF(AND(N272&gt;0,O272&gt;0),O272,"Вне аренды"))))</f>
        <v/>
      </c>
      <c r="G272" s="12">
        <f>IF(ISNUMBER(F272),IFERROR(INDEX(Брони!$C$2:$C$500,MATCH(F272,Брони!$A$2:$A$500,0)),""),"")</f>
        <v/>
      </c>
      <c r="H272" s="10" t="n"/>
      <c r="I272" s="18" t="n"/>
      <c r="J272" s="12">
        <f>IF(AND(ISNUMBER(F272),I272&lt;&gt;""),IFERROR(IF(AND(INDEX(Брони!$F$2:$F$500,MATCH(F272,Брони!$A$2:$A$500,0))="Возвращена",I272&gt;INDEX(Брони!$E$2:$E$500,MATCH(F272,Брони!$A$2:$A$500,0))),"Да",""),""),"")</f>
        <v/>
      </c>
      <c r="K272" s="10" t="n"/>
      <c r="L272" s="14" t="n"/>
      <c r="M272" s="15">
        <f>IF(OR(A272="",B272=""),"",IF(AND(ISNUMBER(F272),H272&lt;&gt;"Компания"),D272+L272,0))</f>
        <v/>
      </c>
      <c r="N272" s="21">
        <f>SUMPRODUCT(MAX((Брони!$B$2:$B$500=B272)*((Брони!$F$2:$F$500="Выдана")+(Брони!$F$2:$F$500="Возвращена"))*(Брони!$D$2:$D$500&lt;=A272)*Брони!$D$2:$D$500))</f>
        <v/>
      </c>
      <c r="O272" s="19">
        <f>SUMPRODUCT((Брони!$B$2:$B$500=B272)*(Брони!$D$2:$D$500=N272)*((((Брони!$F$2:$F$500="Выдана")*NOW())+((Брони!$F$2:$F$500="Возвращена")*Брони!$E$2:$E$500))&gt;=A272)*Брони!$A$2:$A$500)</f>
        <v/>
      </c>
      <c r="P272" s="19">
        <f>SUMPRODUCT((Брони!$B$2:$B$500=B272)*(Брони!$D$2:$D$500=N272)*(((Брони!$F$2:$F$500="Выдана")+(Брони!$F$2:$F$500="Возвращена"))))</f>
        <v/>
      </c>
      <c r="Q272" s="10" t="n"/>
    </row>
    <row r="273">
      <c r="A273" s="11" t="n"/>
      <c r="B273" s="10" t="n"/>
      <c r="C273" s="10" t="n"/>
      <c r="D273" s="14" t="n"/>
      <c r="E273" s="10" t="n"/>
      <c r="F273" s="20">
        <f>IF(OR(A273="",B273=""),"",IF(OR(NOT(ISNUMBER(A273)),ISERROR(N273+O273+P273)),"Проверьте даты",IF(AND(N273&gt;0,P273&gt;1),"Дубль",IF(AND(N273&gt;0,O273&gt;0),O273,"Вне аренды"))))</f>
        <v/>
      </c>
      <c r="G273" s="12">
        <f>IF(ISNUMBER(F273),IFERROR(INDEX(Брони!$C$2:$C$500,MATCH(F273,Брони!$A$2:$A$500,0)),""),"")</f>
        <v/>
      </c>
      <c r="H273" s="10" t="n"/>
      <c r="I273" s="18" t="n"/>
      <c r="J273" s="12">
        <f>IF(AND(ISNUMBER(F273),I273&lt;&gt;""),IFERROR(IF(AND(INDEX(Брони!$F$2:$F$500,MATCH(F273,Брони!$A$2:$A$500,0))="Возвращена",I273&gt;INDEX(Брони!$E$2:$E$500,MATCH(F273,Брони!$A$2:$A$500,0))),"Да",""),""),"")</f>
        <v/>
      </c>
      <c r="K273" s="10" t="n"/>
      <c r="L273" s="14" t="n"/>
      <c r="M273" s="15">
        <f>IF(OR(A273="",B273=""),"",IF(AND(ISNUMBER(F273),H273&lt;&gt;"Компания"),D273+L273,0))</f>
        <v/>
      </c>
      <c r="N273" s="21">
        <f>SUMPRODUCT(MAX((Брони!$B$2:$B$500=B273)*((Брони!$F$2:$F$500="Выдана")+(Брони!$F$2:$F$500="Возвращена"))*(Брони!$D$2:$D$500&lt;=A273)*Брони!$D$2:$D$500))</f>
        <v/>
      </c>
      <c r="O273" s="19">
        <f>SUMPRODUCT((Брони!$B$2:$B$500=B273)*(Брони!$D$2:$D$500=N273)*((((Брони!$F$2:$F$500="Выдана")*NOW())+((Брони!$F$2:$F$500="Возвращена")*Брони!$E$2:$E$500))&gt;=A273)*Брони!$A$2:$A$500)</f>
        <v/>
      </c>
      <c r="P273" s="19">
        <f>SUMPRODUCT((Брони!$B$2:$B$500=B273)*(Брони!$D$2:$D$500=N273)*(((Брони!$F$2:$F$500="Выдана")+(Брони!$F$2:$F$500="Возвращена"))))</f>
        <v/>
      </c>
      <c r="Q273" s="10" t="n"/>
    </row>
    <row r="274">
      <c r="A274" s="11" t="n"/>
      <c r="B274" s="10" t="n"/>
      <c r="C274" s="10" t="n"/>
      <c r="D274" s="14" t="n"/>
      <c r="E274" s="10" t="n"/>
      <c r="F274" s="20">
        <f>IF(OR(A274="",B274=""),"",IF(OR(NOT(ISNUMBER(A274)),ISERROR(N274+O274+P274)),"Проверьте даты",IF(AND(N274&gt;0,P274&gt;1),"Дубль",IF(AND(N274&gt;0,O274&gt;0),O274,"Вне аренды"))))</f>
        <v/>
      </c>
      <c r="G274" s="12">
        <f>IF(ISNUMBER(F274),IFERROR(INDEX(Брони!$C$2:$C$500,MATCH(F274,Брони!$A$2:$A$500,0)),""),"")</f>
        <v/>
      </c>
      <c r="H274" s="10" t="n"/>
      <c r="I274" s="18" t="n"/>
      <c r="J274" s="12">
        <f>IF(AND(ISNUMBER(F274),I274&lt;&gt;""),IFERROR(IF(AND(INDEX(Брони!$F$2:$F$500,MATCH(F274,Брони!$A$2:$A$500,0))="Возвращена",I274&gt;INDEX(Брони!$E$2:$E$500,MATCH(F274,Брони!$A$2:$A$500,0))),"Да",""),""),"")</f>
        <v/>
      </c>
      <c r="K274" s="10" t="n"/>
      <c r="L274" s="14" t="n"/>
      <c r="M274" s="15">
        <f>IF(OR(A274="",B274=""),"",IF(AND(ISNUMBER(F274),H274&lt;&gt;"Компания"),D274+L274,0))</f>
        <v/>
      </c>
      <c r="N274" s="21">
        <f>SUMPRODUCT(MAX((Брони!$B$2:$B$500=B274)*((Брони!$F$2:$F$500="Выдана")+(Брони!$F$2:$F$500="Возвращена"))*(Брони!$D$2:$D$500&lt;=A274)*Брони!$D$2:$D$500))</f>
        <v/>
      </c>
      <c r="O274" s="19">
        <f>SUMPRODUCT((Брони!$B$2:$B$500=B274)*(Брони!$D$2:$D$500=N274)*((((Брони!$F$2:$F$500="Выдана")*NOW())+((Брони!$F$2:$F$500="Возвращена")*Брони!$E$2:$E$500))&gt;=A274)*Брони!$A$2:$A$500)</f>
        <v/>
      </c>
      <c r="P274" s="19">
        <f>SUMPRODUCT((Брони!$B$2:$B$500=B274)*(Брони!$D$2:$D$500=N274)*(((Брони!$F$2:$F$500="Выдана")+(Брони!$F$2:$F$500="Возвращена"))))</f>
        <v/>
      </c>
      <c r="Q274" s="10" t="n"/>
    </row>
    <row r="275">
      <c r="A275" s="11" t="n"/>
      <c r="B275" s="10" t="n"/>
      <c r="C275" s="10" t="n"/>
      <c r="D275" s="14" t="n"/>
      <c r="E275" s="10" t="n"/>
      <c r="F275" s="20">
        <f>IF(OR(A275="",B275=""),"",IF(OR(NOT(ISNUMBER(A275)),ISERROR(N275+O275+P275)),"Проверьте даты",IF(AND(N275&gt;0,P275&gt;1),"Дубль",IF(AND(N275&gt;0,O275&gt;0),O275,"Вне аренды"))))</f>
        <v/>
      </c>
      <c r="G275" s="12">
        <f>IF(ISNUMBER(F275),IFERROR(INDEX(Брони!$C$2:$C$500,MATCH(F275,Брони!$A$2:$A$500,0)),""),"")</f>
        <v/>
      </c>
      <c r="H275" s="10" t="n"/>
      <c r="I275" s="18" t="n"/>
      <c r="J275" s="12">
        <f>IF(AND(ISNUMBER(F275),I275&lt;&gt;""),IFERROR(IF(AND(INDEX(Брони!$F$2:$F$500,MATCH(F275,Брони!$A$2:$A$500,0))="Возвращена",I275&gt;INDEX(Брони!$E$2:$E$500,MATCH(F275,Брони!$A$2:$A$500,0))),"Да",""),""),"")</f>
        <v/>
      </c>
      <c r="K275" s="10" t="n"/>
      <c r="L275" s="14" t="n"/>
      <c r="M275" s="15">
        <f>IF(OR(A275="",B275=""),"",IF(AND(ISNUMBER(F275),H275&lt;&gt;"Компания"),D275+L275,0))</f>
        <v/>
      </c>
      <c r="N275" s="21">
        <f>SUMPRODUCT(MAX((Брони!$B$2:$B$500=B275)*((Брони!$F$2:$F$500="Выдана")+(Брони!$F$2:$F$500="Возвращена"))*(Брони!$D$2:$D$500&lt;=A275)*Брони!$D$2:$D$500))</f>
        <v/>
      </c>
      <c r="O275" s="19">
        <f>SUMPRODUCT((Брони!$B$2:$B$500=B275)*(Брони!$D$2:$D$500=N275)*((((Брони!$F$2:$F$500="Выдана")*NOW())+((Брони!$F$2:$F$500="Возвращена")*Брони!$E$2:$E$500))&gt;=A275)*Брони!$A$2:$A$500)</f>
        <v/>
      </c>
      <c r="P275" s="19">
        <f>SUMPRODUCT((Брони!$B$2:$B$500=B275)*(Брони!$D$2:$D$500=N275)*(((Брони!$F$2:$F$500="Выдана")+(Брони!$F$2:$F$500="Возвращена"))))</f>
        <v/>
      </c>
      <c r="Q275" s="10" t="n"/>
    </row>
    <row r="276">
      <c r="A276" s="11" t="n"/>
      <c r="B276" s="10" t="n"/>
      <c r="C276" s="10" t="n"/>
      <c r="D276" s="14" t="n"/>
      <c r="E276" s="10" t="n"/>
      <c r="F276" s="20">
        <f>IF(OR(A276="",B276=""),"",IF(OR(NOT(ISNUMBER(A276)),ISERROR(N276+O276+P276)),"Проверьте даты",IF(AND(N276&gt;0,P276&gt;1),"Дубль",IF(AND(N276&gt;0,O276&gt;0),O276,"Вне аренды"))))</f>
        <v/>
      </c>
      <c r="G276" s="12">
        <f>IF(ISNUMBER(F276),IFERROR(INDEX(Брони!$C$2:$C$500,MATCH(F276,Брони!$A$2:$A$500,0)),""),"")</f>
        <v/>
      </c>
      <c r="H276" s="10" t="n"/>
      <c r="I276" s="18" t="n"/>
      <c r="J276" s="12">
        <f>IF(AND(ISNUMBER(F276),I276&lt;&gt;""),IFERROR(IF(AND(INDEX(Брони!$F$2:$F$500,MATCH(F276,Брони!$A$2:$A$500,0))="Возвращена",I276&gt;INDEX(Брони!$E$2:$E$500,MATCH(F276,Брони!$A$2:$A$500,0))),"Да",""),""),"")</f>
        <v/>
      </c>
      <c r="K276" s="10" t="n"/>
      <c r="L276" s="14" t="n"/>
      <c r="M276" s="15">
        <f>IF(OR(A276="",B276=""),"",IF(AND(ISNUMBER(F276),H276&lt;&gt;"Компания"),D276+L276,0))</f>
        <v/>
      </c>
      <c r="N276" s="21">
        <f>SUMPRODUCT(MAX((Брони!$B$2:$B$500=B276)*((Брони!$F$2:$F$500="Выдана")+(Брони!$F$2:$F$500="Возвращена"))*(Брони!$D$2:$D$500&lt;=A276)*Брони!$D$2:$D$500))</f>
        <v/>
      </c>
      <c r="O276" s="19">
        <f>SUMPRODUCT((Брони!$B$2:$B$500=B276)*(Брони!$D$2:$D$500=N276)*((((Брони!$F$2:$F$500="Выдана")*NOW())+((Брони!$F$2:$F$500="Возвращена")*Брони!$E$2:$E$500))&gt;=A276)*Брони!$A$2:$A$500)</f>
        <v/>
      </c>
      <c r="P276" s="19">
        <f>SUMPRODUCT((Брони!$B$2:$B$500=B276)*(Брони!$D$2:$D$500=N276)*(((Брони!$F$2:$F$500="Выдана")+(Брони!$F$2:$F$500="Возвращена"))))</f>
        <v/>
      </c>
      <c r="Q276" s="10" t="n"/>
    </row>
    <row r="277">
      <c r="A277" s="11" t="n"/>
      <c r="B277" s="10" t="n"/>
      <c r="C277" s="10" t="n"/>
      <c r="D277" s="14" t="n"/>
      <c r="E277" s="10" t="n"/>
      <c r="F277" s="20">
        <f>IF(OR(A277="",B277=""),"",IF(OR(NOT(ISNUMBER(A277)),ISERROR(N277+O277+P277)),"Проверьте даты",IF(AND(N277&gt;0,P277&gt;1),"Дубль",IF(AND(N277&gt;0,O277&gt;0),O277,"Вне аренды"))))</f>
        <v/>
      </c>
      <c r="G277" s="12">
        <f>IF(ISNUMBER(F277),IFERROR(INDEX(Брони!$C$2:$C$500,MATCH(F277,Брони!$A$2:$A$500,0)),""),"")</f>
        <v/>
      </c>
      <c r="H277" s="10" t="n"/>
      <c r="I277" s="18" t="n"/>
      <c r="J277" s="12">
        <f>IF(AND(ISNUMBER(F277),I277&lt;&gt;""),IFERROR(IF(AND(INDEX(Брони!$F$2:$F$500,MATCH(F277,Брони!$A$2:$A$500,0))="Возвращена",I277&gt;INDEX(Брони!$E$2:$E$500,MATCH(F277,Брони!$A$2:$A$500,0))),"Да",""),""),"")</f>
        <v/>
      </c>
      <c r="K277" s="10" t="n"/>
      <c r="L277" s="14" t="n"/>
      <c r="M277" s="15">
        <f>IF(OR(A277="",B277=""),"",IF(AND(ISNUMBER(F277),H277&lt;&gt;"Компания"),D277+L277,0))</f>
        <v/>
      </c>
      <c r="N277" s="21">
        <f>SUMPRODUCT(MAX((Брони!$B$2:$B$500=B277)*((Брони!$F$2:$F$500="Выдана")+(Брони!$F$2:$F$500="Возвращена"))*(Брони!$D$2:$D$500&lt;=A277)*Брони!$D$2:$D$500))</f>
        <v/>
      </c>
      <c r="O277" s="19">
        <f>SUMPRODUCT((Брони!$B$2:$B$500=B277)*(Брони!$D$2:$D$500=N277)*((((Брони!$F$2:$F$500="Выдана")*NOW())+((Брони!$F$2:$F$500="Возвращена")*Брони!$E$2:$E$500))&gt;=A277)*Брони!$A$2:$A$500)</f>
        <v/>
      </c>
      <c r="P277" s="19">
        <f>SUMPRODUCT((Брони!$B$2:$B$500=B277)*(Брони!$D$2:$D$500=N277)*(((Брони!$F$2:$F$500="Выдана")+(Брони!$F$2:$F$500="Возвращена"))))</f>
        <v/>
      </c>
      <c r="Q277" s="10" t="n"/>
    </row>
    <row r="278">
      <c r="A278" s="11" t="n"/>
      <c r="B278" s="10" t="n"/>
      <c r="C278" s="10" t="n"/>
      <c r="D278" s="14" t="n"/>
      <c r="E278" s="10" t="n"/>
      <c r="F278" s="20">
        <f>IF(OR(A278="",B278=""),"",IF(OR(NOT(ISNUMBER(A278)),ISERROR(N278+O278+P278)),"Проверьте даты",IF(AND(N278&gt;0,P278&gt;1),"Дубль",IF(AND(N278&gt;0,O278&gt;0),O278,"Вне аренды"))))</f>
        <v/>
      </c>
      <c r="G278" s="12">
        <f>IF(ISNUMBER(F278),IFERROR(INDEX(Брони!$C$2:$C$500,MATCH(F278,Брони!$A$2:$A$500,0)),""),"")</f>
        <v/>
      </c>
      <c r="H278" s="10" t="n"/>
      <c r="I278" s="18" t="n"/>
      <c r="J278" s="12">
        <f>IF(AND(ISNUMBER(F278),I278&lt;&gt;""),IFERROR(IF(AND(INDEX(Брони!$F$2:$F$500,MATCH(F278,Брони!$A$2:$A$500,0))="Возвращена",I278&gt;INDEX(Брони!$E$2:$E$500,MATCH(F278,Брони!$A$2:$A$500,0))),"Да",""),""),"")</f>
        <v/>
      </c>
      <c r="K278" s="10" t="n"/>
      <c r="L278" s="14" t="n"/>
      <c r="M278" s="15">
        <f>IF(OR(A278="",B278=""),"",IF(AND(ISNUMBER(F278),H278&lt;&gt;"Компания"),D278+L278,0))</f>
        <v/>
      </c>
      <c r="N278" s="21">
        <f>SUMPRODUCT(MAX((Брони!$B$2:$B$500=B278)*((Брони!$F$2:$F$500="Выдана")+(Брони!$F$2:$F$500="Возвращена"))*(Брони!$D$2:$D$500&lt;=A278)*Брони!$D$2:$D$500))</f>
        <v/>
      </c>
      <c r="O278" s="19">
        <f>SUMPRODUCT((Брони!$B$2:$B$500=B278)*(Брони!$D$2:$D$500=N278)*((((Брони!$F$2:$F$500="Выдана")*NOW())+((Брони!$F$2:$F$500="Возвращена")*Брони!$E$2:$E$500))&gt;=A278)*Брони!$A$2:$A$500)</f>
        <v/>
      </c>
      <c r="P278" s="19">
        <f>SUMPRODUCT((Брони!$B$2:$B$500=B278)*(Брони!$D$2:$D$500=N278)*(((Брони!$F$2:$F$500="Выдана")+(Брони!$F$2:$F$500="Возвращена"))))</f>
        <v/>
      </c>
      <c r="Q278" s="10" t="n"/>
    </row>
    <row r="279">
      <c r="A279" s="11" t="n"/>
      <c r="B279" s="10" t="n"/>
      <c r="C279" s="10" t="n"/>
      <c r="D279" s="14" t="n"/>
      <c r="E279" s="10" t="n"/>
      <c r="F279" s="20">
        <f>IF(OR(A279="",B279=""),"",IF(OR(NOT(ISNUMBER(A279)),ISERROR(N279+O279+P279)),"Проверьте даты",IF(AND(N279&gt;0,P279&gt;1),"Дубль",IF(AND(N279&gt;0,O279&gt;0),O279,"Вне аренды"))))</f>
        <v/>
      </c>
      <c r="G279" s="12">
        <f>IF(ISNUMBER(F279),IFERROR(INDEX(Брони!$C$2:$C$500,MATCH(F279,Брони!$A$2:$A$500,0)),""),"")</f>
        <v/>
      </c>
      <c r="H279" s="10" t="n"/>
      <c r="I279" s="18" t="n"/>
      <c r="J279" s="12">
        <f>IF(AND(ISNUMBER(F279),I279&lt;&gt;""),IFERROR(IF(AND(INDEX(Брони!$F$2:$F$500,MATCH(F279,Брони!$A$2:$A$500,0))="Возвращена",I279&gt;INDEX(Брони!$E$2:$E$500,MATCH(F279,Брони!$A$2:$A$500,0))),"Да",""),""),"")</f>
        <v/>
      </c>
      <c r="K279" s="10" t="n"/>
      <c r="L279" s="14" t="n"/>
      <c r="M279" s="15">
        <f>IF(OR(A279="",B279=""),"",IF(AND(ISNUMBER(F279),H279&lt;&gt;"Компания"),D279+L279,0))</f>
        <v/>
      </c>
      <c r="N279" s="21">
        <f>SUMPRODUCT(MAX((Брони!$B$2:$B$500=B279)*((Брони!$F$2:$F$500="Выдана")+(Брони!$F$2:$F$500="Возвращена"))*(Брони!$D$2:$D$500&lt;=A279)*Брони!$D$2:$D$500))</f>
        <v/>
      </c>
      <c r="O279" s="19">
        <f>SUMPRODUCT((Брони!$B$2:$B$500=B279)*(Брони!$D$2:$D$500=N279)*((((Брони!$F$2:$F$500="Выдана")*NOW())+((Брони!$F$2:$F$500="Возвращена")*Брони!$E$2:$E$500))&gt;=A279)*Брони!$A$2:$A$500)</f>
        <v/>
      </c>
      <c r="P279" s="19">
        <f>SUMPRODUCT((Брони!$B$2:$B$500=B279)*(Брони!$D$2:$D$500=N279)*(((Брони!$F$2:$F$500="Выдана")+(Брони!$F$2:$F$500="Возвращена"))))</f>
        <v/>
      </c>
      <c r="Q279" s="10" t="n"/>
    </row>
    <row r="280">
      <c r="A280" s="11" t="n"/>
      <c r="B280" s="10" t="n"/>
      <c r="C280" s="10" t="n"/>
      <c r="D280" s="14" t="n"/>
      <c r="E280" s="10" t="n"/>
      <c r="F280" s="20">
        <f>IF(OR(A280="",B280=""),"",IF(OR(NOT(ISNUMBER(A280)),ISERROR(N280+O280+P280)),"Проверьте даты",IF(AND(N280&gt;0,P280&gt;1),"Дубль",IF(AND(N280&gt;0,O280&gt;0),O280,"Вне аренды"))))</f>
        <v/>
      </c>
      <c r="G280" s="12">
        <f>IF(ISNUMBER(F280),IFERROR(INDEX(Брони!$C$2:$C$500,MATCH(F280,Брони!$A$2:$A$500,0)),""),"")</f>
        <v/>
      </c>
      <c r="H280" s="10" t="n"/>
      <c r="I280" s="18" t="n"/>
      <c r="J280" s="12">
        <f>IF(AND(ISNUMBER(F280),I280&lt;&gt;""),IFERROR(IF(AND(INDEX(Брони!$F$2:$F$500,MATCH(F280,Брони!$A$2:$A$500,0))="Возвращена",I280&gt;INDEX(Брони!$E$2:$E$500,MATCH(F280,Брони!$A$2:$A$500,0))),"Да",""),""),"")</f>
        <v/>
      </c>
      <c r="K280" s="10" t="n"/>
      <c r="L280" s="14" t="n"/>
      <c r="M280" s="15">
        <f>IF(OR(A280="",B280=""),"",IF(AND(ISNUMBER(F280),H280&lt;&gt;"Компания"),D280+L280,0))</f>
        <v/>
      </c>
      <c r="N280" s="21">
        <f>SUMPRODUCT(MAX((Брони!$B$2:$B$500=B280)*((Брони!$F$2:$F$500="Выдана")+(Брони!$F$2:$F$500="Возвращена"))*(Брони!$D$2:$D$500&lt;=A280)*Брони!$D$2:$D$500))</f>
        <v/>
      </c>
      <c r="O280" s="19">
        <f>SUMPRODUCT((Брони!$B$2:$B$500=B280)*(Брони!$D$2:$D$500=N280)*((((Брони!$F$2:$F$500="Выдана")*NOW())+((Брони!$F$2:$F$500="Возвращена")*Брони!$E$2:$E$500))&gt;=A280)*Брони!$A$2:$A$500)</f>
        <v/>
      </c>
      <c r="P280" s="19">
        <f>SUMPRODUCT((Брони!$B$2:$B$500=B280)*(Брони!$D$2:$D$500=N280)*(((Брони!$F$2:$F$500="Выдана")+(Брони!$F$2:$F$500="Возвращена"))))</f>
        <v/>
      </c>
      <c r="Q280" s="10" t="n"/>
    </row>
    <row r="281">
      <c r="A281" s="11" t="n"/>
      <c r="B281" s="10" t="n"/>
      <c r="C281" s="10" t="n"/>
      <c r="D281" s="14" t="n"/>
      <c r="E281" s="10" t="n"/>
      <c r="F281" s="20">
        <f>IF(OR(A281="",B281=""),"",IF(OR(NOT(ISNUMBER(A281)),ISERROR(N281+O281+P281)),"Проверьте даты",IF(AND(N281&gt;0,P281&gt;1),"Дубль",IF(AND(N281&gt;0,O281&gt;0),O281,"Вне аренды"))))</f>
        <v/>
      </c>
      <c r="G281" s="12">
        <f>IF(ISNUMBER(F281),IFERROR(INDEX(Брони!$C$2:$C$500,MATCH(F281,Брони!$A$2:$A$500,0)),""),"")</f>
        <v/>
      </c>
      <c r="H281" s="10" t="n"/>
      <c r="I281" s="18" t="n"/>
      <c r="J281" s="12">
        <f>IF(AND(ISNUMBER(F281),I281&lt;&gt;""),IFERROR(IF(AND(INDEX(Брони!$F$2:$F$500,MATCH(F281,Брони!$A$2:$A$500,0))="Возвращена",I281&gt;INDEX(Брони!$E$2:$E$500,MATCH(F281,Брони!$A$2:$A$500,0))),"Да",""),""),"")</f>
        <v/>
      </c>
      <c r="K281" s="10" t="n"/>
      <c r="L281" s="14" t="n"/>
      <c r="M281" s="15">
        <f>IF(OR(A281="",B281=""),"",IF(AND(ISNUMBER(F281),H281&lt;&gt;"Компания"),D281+L281,0))</f>
        <v/>
      </c>
      <c r="N281" s="21">
        <f>SUMPRODUCT(MAX((Брони!$B$2:$B$500=B281)*((Брони!$F$2:$F$500="Выдана")+(Брони!$F$2:$F$500="Возвращена"))*(Брони!$D$2:$D$500&lt;=A281)*Брони!$D$2:$D$500))</f>
        <v/>
      </c>
      <c r="O281" s="19">
        <f>SUMPRODUCT((Брони!$B$2:$B$500=B281)*(Брони!$D$2:$D$500=N281)*((((Брони!$F$2:$F$500="Выдана")*NOW())+((Брони!$F$2:$F$500="Возвращена")*Брони!$E$2:$E$500))&gt;=A281)*Брони!$A$2:$A$500)</f>
        <v/>
      </c>
      <c r="P281" s="19">
        <f>SUMPRODUCT((Брони!$B$2:$B$500=B281)*(Брони!$D$2:$D$500=N281)*(((Брони!$F$2:$F$500="Выдана")+(Брони!$F$2:$F$500="Возвращена"))))</f>
        <v/>
      </c>
      <c r="Q281" s="10" t="n"/>
    </row>
    <row r="282">
      <c r="A282" s="11" t="n"/>
      <c r="B282" s="10" t="n"/>
      <c r="C282" s="10" t="n"/>
      <c r="D282" s="14" t="n"/>
      <c r="E282" s="10" t="n"/>
      <c r="F282" s="20">
        <f>IF(OR(A282="",B282=""),"",IF(OR(NOT(ISNUMBER(A282)),ISERROR(N282+O282+P282)),"Проверьте даты",IF(AND(N282&gt;0,P282&gt;1),"Дубль",IF(AND(N282&gt;0,O282&gt;0),O282,"Вне аренды"))))</f>
        <v/>
      </c>
      <c r="G282" s="12">
        <f>IF(ISNUMBER(F282),IFERROR(INDEX(Брони!$C$2:$C$500,MATCH(F282,Брони!$A$2:$A$500,0)),""),"")</f>
        <v/>
      </c>
      <c r="H282" s="10" t="n"/>
      <c r="I282" s="18" t="n"/>
      <c r="J282" s="12">
        <f>IF(AND(ISNUMBER(F282),I282&lt;&gt;""),IFERROR(IF(AND(INDEX(Брони!$F$2:$F$500,MATCH(F282,Брони!$A$2:$A$500,0))="Возвращена",I282&gt;INDEX(Брони!$E$2:$E$500,MATCH(F282,Брони!$A$2:$A$500,0))),"Да",""),""),"")</f>
        <v/>
      </c>
      <c r="K282" s="10" t="n"/>
      <c r="L282" s="14" t="n"/>
      <c r="M282" s="15">
        <f>IF(OR(A282="",B282=""),"",IF(AND(ISNUMBER(F282),H282&lt;&gt;"Компания"),D282+L282,0))</f>
        <v/>
      </c>
      <c r="N282" s="21">
        <f>SUMPRODUCT(MAX((Брони!$B$2:$B$500=B282)*((Брони!$F$2:$F$500="Выдана")+(Брони!$F$2:$F$500="Возвращена"))*(Брони!$D$2:$D$500&lt;=A282)*Брони!$D$2:$D$500))</f>
        <v/>
      </c>
      <c r="O282" s="19">
        <f>SUMPRODUCT((Брони!$B$2:$B$500=B282)*(Брони!$D$2:$D$500=N282)*((((Брони!$F$2:$F$500="Выдана")*NOW())+((Брони!$F$2:$F$500="Возвращена")*Брони!$E$2:$E$500))&gt;=A282)*Брони!$A$2:$A$500)</f>
        <v/>
      </c>
      <c r="P282" s="19">
        <f>SUMPRODUCT((Брони!$B$2:$B$500=B282)*(Брони!$D$2:$D$500=N282)*(((Брони!$F$2:$F$500="Выдана")+(Брони!$F$2:$F$500="Возвращена"))))</f>
        <v/>
      </c>
      <c r="Q282" s="10" t="n"/>
    </row>
    <row r="283">
      <c r="A283" s="11" t="n"/>
      <c r="B283" s="10" t="n"/>
      <c r="C283" s="10" t="n"/>
      <c r="D283" s="14" t="n"/>
      <c r="E283" s="10" t="n"/>
      <c r="F283" s="20">
        <f>IF(OR(A283="",B283=""),"",IF(OR(NOT(ISNUMBER(A283)),ISERROR(N283+O283+P283)),"Проверьте даты",IF(AND(N283&gt;0,P283&gt;1),"Дубль",IF(AND(N283&gt;0,O283&gt;0),O283,"Вне аренды"))))</f>
        <v/>
      </c>
      <c r="G283" s="12">
        <f>IF(ISNUMBER(F283),IFERROR(INDEX(Брони!$C$2:$C$500,MATCH(F283,Брони!$A$2:$A$500,0)),""),"")</f>
        <v/>
      </c>
      <c r="H283" s="10" t="n"/>
      <c r="I283" s="18" t="n"/>
      <c r="J283" s="12">
        <f>IF(AND(ISNUMBER(F283),I283&lt;&gt;""),IFERROR(IF(AND(INDEX(Брони!$F$2:$F$500,MATCH(F283,Брони!$A$2:$A$500,0))="Возвращена",I283&gt;INDEX(Брони!$E$2:$E$500,MATCH(F283,Брони!$A$2:$A$500,0))),"Да",""),""),"")</f>
        <v/>
      </c>
      <c r="K283" s="10" t="n"/>
      <c r="L283" s="14" t="n"/>
      <c r="M283" s="15">
        <f>IF(OR(A283="",B283=""),"",IF(AND(ISNUMBER(F283),H283&lt;&gt;"Компания"),D283+L283,0))</f>
        <v/>
      </c>
      <c r="N283" s="21">
        <f>SUMPRODUCT(MAX((Брони!$B$2:$B$500=B283)*((Брони!$F$2:$F$500="Выдана")+(Брони!$F$2:$F$500="Возвращена"))*(Брони!$D$2:$D$500&lt;=A283)*Брони!$D$2:$D$500))</f>
        <v/>
      </c>
      <c r="O283" s="19">
        <f>SUMPRODUCT((Брони!$B$2:$B$500=B283)*(Брони!$D$2:$D$500=N283)*((((Брони!$F$2:$F$500="Выдана")*NOW())+((Брони!$F$2:$F$500="Возвращена")*Брони!$E$2:$E$500))&gt;=A283)*Брони!$A$2:$A$500)</f>
        <v/>
      </c>
      <c r="P283" s="19">
        <f>SUMPRODUCT((Брони!$B$2:$B$500=B283)*(Брони!$D$2:$D$500=N283)*(((Брони!$F$2:$F$500="Выдана")+(Брони!$F$2:$F$500="Возвращена"))))</f>
        <v/>
      </c>
      <c r="Q283" s="10" t="n"/>
    </row>
    <row r="284">
      <c r="A284" s="11" t="n"/>
      <c r="B284" s="10" t="n"/>
      <c r="C284" s="10" t="n"/>
      <c r="D284" s="14" t="n"/>
      <c r="E284" s="10" t="n"/>
      <c r="F284" s="20">
        <f>IF(OR(A284="",B284=""),"",IF(OR(NOT(ISNUMBER(A284)),ISERROR(N284+O284+P284)),"Проверьте даты",IF(AND(N284&gt;0,P284&gt;1),"Дубль",IF(AND(N284&gt;0,O284&gt;0),O284,"Вне аренды"))))</f>
        <v/>
      </c>
      <c r="G284" s="12">
        <f>IF(ISNUMBER(F284),IFERROR(INDEX(Брони!$C$2:$C$500,MATCH(F284,Брони!$A$2:$A$500,0)),""),"")</f>
        <v/>
      </c>
      <c r="H284" s="10" t="n"/>
      <c r="I284" s="18" t="n"/>
      <c r="J284" s="12">
        <f>IF(AND(ISNUMBER(F284),I284&lt;&gt;""),IFERROR(IF(AND(INDEX(Брони!$F$2:$F$500,MATCH(F284,Брони!$A$2:$A$500,0))="Возвращена",I284&gt;INDEX(Брони!$E$2:$E$500,MATCH(F284,Брони!$A$2:$A$500,0))),"Да",""),""),"")</f>
        <v/>
      </c>
      <c r="K284" s="10" t="n"/>
      <c r="L284" s="14" t="n"/>
      <c r="M284" s="15">
        <f>IF(OR(A284="",B284=""),"",IF(AND(ISNUMBER(F284),H284&lt;&gt;"Компания"),D284+L284,0))</f>
        <v/>
      </c>
      <c r="N284" s="21">
        <f>SUMPRODUCT(MAX((Брони!$B$2:$B$500=B284)*((Брони!$F$2:$F$500="Выдана")+(Брони!$F$2:$F$500="Возвращена"))*(Брони!$D$2:$D$500&lt;=A284)*Брони!$D$2:$D$500))</f>
        <v/>
      </c>
      <c r="O284" s="19">
        <f>SUMPRODUCT((Брони!$B$2:$B$500=B284)*(Брони!$D$2:$D$500=N284)*((((Брони!$F$2:$F$500="Выдана")*NOW())+((Брони!$F$2:$F$500="Возвращена")*Брони!$E$2:$E$500))&gt;=A284)*Брони!$A$2:$A$500)</f>
        <v/>
      </c>
      <c r="P284" s="19">
        <f>SUMPRODUCT((Брони!$B$2:$B$500=B284)*(Брони!$D$2:$D$500=N284)*(((Брони!$F$2:$F$500="Выдана")+(Брони!$F$2:$F$500="Возвращена"))))</f>
        <v/>
      </c>
      <c r="Q284" s="10" t="n"/>
    </row>
    <row r="285">
      <c r="A285" s="11" t="n"/>
      <c r="B285" s="10" t="n"/>
      <c r="C285" s="10" t="n"/>
      <c r="D285" s="14" t="n"/>
      <c r="E285" s="10" t="n"/>
      <c r="F285" s="20">
        <f>IF(OR(A285="",B285=""),"",IF(OR(NOT(ISNUMBER(A285)),ISERROR(N285+O285+P285)),"Проверьте даты",IF(AND(N285&gt;0,P285&gt;1),"Дубль",IF(AND(N285&gt;0,O285&gt;0),O285,"Вне аренды"))))</f>
        <v/>
      </c>
      <c r="G285" s="12">
        <f>IF(ISNUMBER(F285),IFERROR(INDEX(Брони!$C$2:$C$500,MATCH(F285,Брони!$A$2:$A$500,0)),""),"")</f>
        <v/>
      </c>
      <c r="H285" s="10" t="n"/>
      <c r="I285" s="18" t="n"/>
      <c r="J285" s="12">
        <f>IF(AND(ISNUMBER(F285),I285&lt;&gt;""),IFERROR(IF(AND(INDEX(Брони!$F$2:$F$500,MATCH(F285,Брони!$A$2:$A$500,0))="Возвращена",I285&gt;INDEX(Брони!$E$2:$E$500,MATCH(F285,Брони!$A$2:$A$500,0))),"Да",""),""),"")</f>
        <v/>
      </c>
      <c r="K285" s="10" t="n"/>
      <c r="L285" s="14" t="n"/>
      <c r="M285" s="15">
        <f>IF(OR(A285="",B285=""),"",IF(AND(ISNUMBER(F285),H285&lt;&gt;"Компания"),D285+L285,0))</f>
        <v/>
      </c>
      <c r="N285" s="21">
        <f>SUMPRODUCT(MAX((Брони!$B$2:$B$500=B285)*((Брони!$F$2:$F$500="Выдана")+(Брони!$F$2:$F$500="Возвращена"))*(Брони!$D$2:$D$500&lt;=A285)*Брони!$D$2:$D$500))</f>
        <v/>
      </c>
      <c r="O285" s="19">
        <f>SUMPRODUCT((Брони!$B$2:$B$500=B285)*(Брони!$D$2:$D$500=N285)*((((Брони!$F$2:$F$500="Выдана")*NOW())+((Брони!$F$2:$F$500="Возвращена")*Брони!$E$2:$E$500))&gt;=A285)*Брони!$A$2:$A$500)</f>
        <v/>
      </c>
      <c r="P285" s="19">
        <f>SUMPRODUCT((Брони!$B$2:$B$500=B285)*(Брони!$D$2:$D$500=N285)*(((Брони!$F$2:$F$500="Выдана")+(Брони!$F$2:$F$500="Возвращена"))))</f>
        <v/>
      </c>
      <c r="Q285" s="10" t="n"/>
    </row>
    <row r="286">
      <c r="A286" s="11" t="n"/>
      <c r="B286" s="10" t="n"/>
      <c r="C286" s="10" t="n"/>
      <c r="D286" s="14" t="n"/>
      <c r="E286" s="10" t="n"/>
      <c r="F286" s="20">
        <f>IF(OR(A286="",B286=""),"",IF(OR(NOT(ISNUMBER(A286)),ISERROR(N286+O286+P286)),"Проверьте даты",IF(AND(N286&gt;0,P286&gt;1),"Дубль",IF(AND(N286&gt;0,O286&gt;0),O286,"Вне аренды"))))</f>
        <v/>
      </c>
      <c r="G286" s="12">
        <f>IF(ISNUMBER(F286),IFERROR(INDEX(Брони!$C$2:$C$500,MATCH(F286,Брони!$A$2:$A$500,0)),""),"")</f>
        <v/>
      </c>
      <c r="H286" s="10" t="n"/>
      <c r="I286" s="18" t="n"/>
      <c r="J286" s="12">
        <f>IF(AND(ISNUMBER(F286),I286&lt;&gt;""),IFERROR(IF(AND(INDEX(Брони!$F$2:$F$500,MATCH(F286,Брони!$A$2:$A$500,0))="Возвращена",I286&gt;INDEX(Брони!$E$2:$E$500,MATCH(F286,Брони!$A$2:$A$500,0))),"Да",""),""),"")</f>
        <v/>
      </c>
      <c r="K286" s="10" t="n"/>
      <c r="L286" s="14" t="n"/>
      <c r="M286" s="15">
        <f>IF(OR(A286="",B286=""),"",IF(AND(ISNUMBER(F286),H286&lt;&gt;"Компания"),D286+L286,0))</f>
        <v/>
      </c>
      <c r="N286" s="21">
        <f>SUMPRODUCT(MAX((Брони!$B$2:$B$500=B286)*((Брони!$F$2:$F$500="Выдана")+(Брони!$F$2:$F$500="Возвращена"))*(Брони!$D$2:$D$500&lt;=A286)*Брони!$D$2:$D$500))</f>
        <v/>
      </c>
      <c r="O286" s="19">
        <f>SUMPRODUCT((Брони!$B$2:$B$500=B286)*(Брони!$D$2:$D$500=N286)*((((Брони!$F$2:$F$500="Выдана")*NOW())+((Брони!$F$2:$F$500="Возвращена")*Брони!$E$2:$E$500))&gt;=A286)*Брони!$A$2:$A$500)</f>
        <v/>
      </c>
      <c r="P286" s="19">
        <f>SUMPRODUCT((Брони!$B$2:$B$500=B286)*(Брони!$D$2:$D$500=N286)*(((Брони!$F$2:$F$500="Выдана")+(Брони!$F$2:$F$500="Возвращена"))))</f>
        <v/>
      </c>
      <c r="Q286" s="10" t="n"/>
    </row>
    <row r="287">
      <c r="A287" s="11" t="n"/>
      <c r="B287" s="10" t="n"/>
      <c r="C287" s="10" t="n"/>
      <c r="D287" s="14" t="n"/>
      <c r="E287" s="10" t="n"/>
      <c r="F287" s="20">
        <f>IF(OR(A287="",B287=""),"",IF(OR(NOT(ISNUMBER(A287)),ISERROR(N287+O287+P287)),"Проверьте даты",IF(AND(N287&gt;0,P287&gt;1),"Дубль",IF(AND(N287&gt;0,O287&gt;0),O287,"Вне аренды"))))</f>
        <v/>
      </c>
      <c r="G287" s="12">
        <f>IF(ISNUMBER(F287),IFERROR(INDEX(Брони!$C$2:$C$500,MATCH(F287,Брони!$A$2:$A$500,0)),""),"")</f>
        <v/>
      </c>
      <c r="H287" s="10" t="n"/>
      <c r="I287" s="18" t="n"/>
      <c r="J287" s="12">
        <f>IF(AND(ISNUMBER(F287),I287&lt;&gt;""),IFERROR(IF(AND(INDEX(Брони!$F$2:$F$500,MATCH(F287,Брони!$A$2:$A$500,0))="Возвращена",I287&gt;INDEX(Брони!$E$2:$E$500,MATCH(F287,Брони!$A$2:$A$500,0))),"Да",""),""),"")</f>
        <v/>
      </c>
      <c r="K287" s="10" t="n"/>
      <c r="L287" s="14" t="n"/>
      <c r="M287" s="15">
        <f>IF(OR(A287="",B287=""),"",IF(AND(ISNUMBER(F287),H287&lt;&gt;"Компания"),D287+L287,0))</f>
        <v/>
      </c>
      <c r="N287" s="21">
        <f>SUMPRODUCT(MAX((Брони!$B$2:$B$500=B287)*((Брони!$F$2:$F$500="Выдана")+(Брони!$F$2:$F$500="Возвращена"))*(Брони!$D$2:$D$500&lt;=A287)*Брони!$D$2:$D$500))</f>
        <v/>
      </c>
      <c r="O287" s="19">
        <f>SUMPRODUCT((Брони!$B$2:$B$500=B287)*(Брони!$D$2:$D$500=N287)*((((Брони!$F$2:$F$500="Выдана")*NOW())+((Брони!$F$2:$F$500="Возвращена")*Брони!$E$2:$E$500))&gt;=A287)*Брони!$A$2:$A$500)</f>
        <v/>
      </c>
      <c r="P287" s="19">
        <f>SUMPRODUCT((Брони!$B$2:$B$500=B287)*(Брони!$D$2:$D$500=N287)*(((Брони!$F$2:$F$500="Выдана")+(Брони!$F$2:$F$500="Возвращена"))))</f>
        <v/>
      </c>
      <c r="Q287" s="10" t="n"/>
    </row>
    <row r="288">
      <c r="A288" s="11" t="n"/>
      <c r="B288" s="10" t="n"/>
      <c r="C288" s="10" t="n"/>
      <c r="D288" s="14" t="n"/>
      <c r="E288" s="10" t="n"/>
      <c r="F288" s="20">
        <f>IF(OR(A288="",B288=""),"",IF(OR(NOT(ISNUMBER(A288)),ISERROR(N288+O288+P288)),"Проверьте даты",IF(AND(N288&gt;0,P288&gt;1),"Дубль",IF(AND(N288&gt;0,O288&gt;0),O288,"Вне аренды"))))</f>
        <v/>
      </c>
      <c r="G288" s="12">
        <f>IF(ISNUMBER(F288),IFERROR(INDEX(Брони!$C$2:$C$500,MATCH(F288,Брони!$A$2:$A$500,0)),""),"")</f>
        <v/>
      </c>
      <c r="H288" s="10" t="n"/>
      <c r="I288" s="18" t="n"/>
      <c r="J288" s="12">
        <f>IF(AND(ISNUMBER(F288),I288&lt;&gt;""),IFERROR(IF(AND(INDEX(Брони!$F$2:$F$500,MATCH(F288,Брони!$A$2:$A$500,0))="Возвращена",I288&gt;INDEX(Брони!$E$2:$E$500,MATCH(F288,Брони!$A$2:$A$500,0))),"Да",""),""),"")</f>
        <v/>
      </c>
      <c r="K288" s="10" t="n"/>
      <c r="L288" s="14" t="n"/>
      <c r="M288" s="15">
        <f>IF(OR(A288="",B288=""),"",IF(AND(ISNUMBER(F288),H288&lt;&gt;"Компания"),D288+L288,0))</f>
        <v/>
      </c>
      <c r="N288" s="21">
        <f>SUMPRODUCT(MAX((Брони!$B$2:$B$500=B288)*((Брони!$F$2:$F$500="Выдана")+(Брони!$F$2:$F$500="Возвращена"))*(Брони!$D$2:$D$500&lt;=A288)*Брони!$D$2:$D$500))</f>
        <v/>
      </c>
      <c r="O288" s="19">
        <f>SUMPRODUCT((Брони!$B$2:$B$500=B288)*(Брони!$D$2:$D$500=N288)*((((Брони!$F$2:$F$500="Выдана")*NOW())+((Брони!$F$2:$F$500="Возвращена")*Брони!$E$2:$E$500))&gt;=A288)*Брони!$A$2:$A$500)</f>
        <v/>
      </c>
      <c r="P288" s="19">
        <f>SUMPRODUCT((Брони!$B$2:$B$500=B288)*(Брони!$D$2:$D$500=N288)*(((Брони!$F$2:$F$500="Выдана")+(Брони!$F$2:$F$500="Возвращена"))))</f>
        <v/>
      </c>
      <c r="Q288" s="10" t="n"/>
    </row>
    <row r="289">
      <c r="A289" s="11" t="n"/>
      <c r="B289" s="10" t="n"/>
      <c r="C289" s="10" t="n"/>
      <c r="D289" s="14" t="n"/>
      <c r="E289" s="10" t="n"/>
      <c r="F289" s="20">
        <f>IF(OR(A289="",B289=""),"",IF(OR(NOT(ISNUMBER(A289)),ISERROR(N289+O289+P289)),"Проверьте даты",IF(AND(N289&gt;0,P289&gt;1),"Дубль",IF(AND(N289&gt;0,O289&gt;0),O289,"Вне аренды"))))</f>
        <v/>
      </c>
      <c r="G289" s="12">
        <f>IF(ISNUMBER(F289),IFERROR(INDEX(Брони!$C$2:$C$500,MATCH(F289,Брони!$A$2:$A$500,0)),""),"")</f>
        <v/>
      </c>
      <c r="H289" s="10" t="n"/>
      <c r="I289" s="18" t="n"/>
      <c r="J289" s="12">
        <f>IF(AND(ISNUMBER(F289),I289&lt;&gt;""),IFERROR(IF(AND(INDEX(Брони!$F$2:$F$500,MATCH(F289,Брони!$A$2:$A$500,0))="Возвращена",I289&gt;INDEX(Брони!$E$2:$E$500,MATCH(F289,Брони!$A$2:$A$500,0))),"Да",""),""),"")</f>
        <v/>
      </c>
      <c r="K289" s="10" t="n"/>
      <c r="L289" s="14" t="n"/>
      <c r="M289" s="15">
        <f>IF(OR(A289="",B289=""),"",IF(AND(ISNUMBER(F289),H289&lt;&gt;"Компания"),D289+L289,0))</f>
        <v/>
      </c>
      <c r="N289" s="21">
        <f>SUMPRODUCT(MAX((Брони!$B$2:$B$500=B289)*((Брони!$F$2:$F$500="Выдана")+(Брони!$F$2:$F$500="Возвращена"))*(Брони!$D$2:$D$500&lt;=A289)*Брони!$D$2:$D$500))</f>
        <v/>
      </c>
      <c r="O289" s="19">
        <f>SUMPRODUCT((Брони!$B$2:$B$500=B289)*(Брони!$D$2:$D$500=N289)*((((Брони!$F$2:$F$500="Выдана")*NOW())+((Брони!$F$2:$F$500="Возвращена")*Брони!$E$2:$E$500))&gt;=A289)*Брони!$A$2:$A$500)</f>
        <v/>
      </c>
      <c r="P289" s="19">
        <f>SUMPRODUCT((Брони!$B$2:$B$500=B289)*(Брони!$D$2:$D$500=N289)*(((Брони!$F$2:$F$500="Выдана")+(Брони!$F$2:$F$500="Возвращена"))))</f>
        <v/>
      </c>
      <c r="Q289" s="10" t="n"/>
    </row>
    <row r="290">
      <c r="A290" s="11" t="n"/>
      <c r="B290" s="10" t="n"/>
      <c r="C290" s="10" t="n"/>
      <c r="D290" s="14" t="n"/>
      <c r="E290" s="10" t="n"/>
      <c r="F290" s="20">
        <f>IF(OR(A290="",B290=""),"",IF(OR(NOT(ISNUMBER(A290)),ISERROR(N290+O290+P290)),"Проверьте даты",IF(AND(N290&gt;0,P290&gt;1),"Дубль",IF(AND(N290&gt;0,O290&gt;0),O290,"Вне аренды"))))</f>
        <v/>
      </c>
      <c r="G290" s="12">
        <f>IF(ISNUMBER(F290),IFERROR(INDEX(Брони!$C$2:$C$500,MATCH(F290,Брони!$A$2:$A$500,0)),""),"")</f>
        <v/>
      </c>
      <c r="H290" s="10" t="n"/>
      <c r="I290" s="18" t="n"/>
      <c r="J290" s="12">
        <f>IF(AND(ISNUMBER(F290),I290&lt;&gt;""),IFERROR(IF(AND(INDEX(Брони!$F$2:$F$500,MATCH(F290,Брони!$A$2:$A$500,0))="Возвращена",I290&gt;INDEX(Брони!$E$2:$E$500,MATCH(F290,Брони!$A$2:$A$500,0))),"Да",""),""),"")</f>
        <v/>
      </c>
      <c r="K290" s="10" t="n"/>
      <c r="L290" s="14" t="n"/>
      <c r="M290" s="15">
        <f>IF(OR(A290="",B290=""),"",IF(AND(ISNUMBER(F290),H290&lt;&gt;"Компания"),D290+L290,0))</f>
        <v/>
      </c>
      <c r="N290" s="21">
        <f>SUMPRODUCT(MAX((Брони!$B$2:$B$500=B290)*((Брони!$F$2:$F$500="Выдана")+(Брони!$F$2:$F$500="Возвращена"))*(Брони!$D$2:$D$500&lt;=A290)*Брони!$D$2:$D$500))</f>
        <v/>
      </c>
      <c r="O290" s="19">
        <f>SUMPRODUCT((Брони!$B$2:$B$500=B290)*(Брони!$D$2:$D$500=N290)*((((Брони!$F$2:$F$500="Выдана")*NOW())+((Брони!$F$2:$F$500="Возвращена")*Брони!$E$2:$E$500))&gt;=A290)*Брони!$A$2:$A$500)</f>
        <v/>
      </c>
      <c r="P290" s="19">
        <f>SUMPRODUCT((Брони!$B$2:$B$500=B290)*(Брони!$D$2:$D$500=N290)*(((Брони!$F$2:$F$500="Выдана")+(Брони!$F$2:$F$500="Возвращена"))))</f>
        <v/>
      </c>
      <c r="Q290" s="10" t="n"/>
    </row>
    <row r="291">
      <c r="A291" s="11" t="n"/>
      <c r="B291" s="10" t="n"/>
      <c r="C291" s="10" t="n"/>
      <c r="D291" s="14" t="n"/>
      <c r="E291" s="10" t="n"/>
      <c r="F291" s="20">
        <f>IF(OR(A291="",B291=""),"",IF(OR(NOT(ISNUMBER(A291)),ISERROR(N291+O291+P291)),"Проверьте даты",IF(AND(N291&gt;0,P291&gt;1),"Дубль",IF(AND(N291&gt;0,O291&gt;0),O291,"Вне аренды"))))</f>
        <v/>
      </c>
      <c r="G291" s="12">
        <f>IF(ISNUMBER(F291),IFERROR(INDEX(Брони!$C$2:$C$500,MATCH(F291,Брони!$A$2:$A$500,0)),""),"")</f>
        <v/>
      </c>
      <c r="H291" s="10" t="n"/>
      <c r="I291" s="18" t="n"/>
      <c r="J291" s="12">
        <f>IF(AND(ISNUMBER(F291),I291&lt;&gt;""),IFERROR(IF(AND(INDEX(Брони!$F$2:$F$500,MATCH(F291,Брони!$A$2:$A$500,0))="Возвращена",I291&gt;INDEX(Брони!$E$2:$E$500,MATCH(F291,Брони!$A$2:$A$500,0))),"Да",""),""),"")</f>
        <v/>
      </c>
      <c r="K291" s="10" t="n"/>
      <c r="L291" s="14" t="n"/>
      <c r="M291" s="15">
        <f>IF(OR(A291="",B291=""),"",IF(AND(ISNUMBER(F291),H291&lt;&gt;"Компания"),D291+L291,0))</f>
        <v/>
      </c>
      <c r="N291" s="21">
        <f>SUMPRODUCT(MAX((Брони!$B$2:$B$500=B291)*((Брони!$F$2:$F$500="Выдана")+(Брони!$F$2:$F$500="Возвращена"))*(Брони!$D$2:$D$500&lt;=A291)*Брони!$D$2:$D$500))</f>
        <v/>
      </c>
      <c r="O291" s="19">
        <f>SUMPRODUCT((Брони!$B$2:$B$500=B291)*(Брони!$D$2:$D$500=N291)*((((Брони!$F$2:$F$500="Выдана")*NOW())+((Брони!$F$2:$F$500="Возвращена")*Брони!$E$2:$E$500))&gt;=A291)*Брони!$A$2:$A$500)</f>
        <v/>
      </c>
      <c r="P291" s="19">
        <f>SUMPRODUCT((Брони!$B$2:$B$500=B291)*(Брони!$D$2:$D$500=N291)*(((Брони!$F$2:$F$500="Выдана")+(Брони!$F$2:$F$500="Возвращена"))))</f>
        <v/>
      </c>
      <c r="Q291" s="10" t="n"/>
    </row>
    <row r="292">
      <c r="A292" s="11" t="n"/>
      <c r="B292" s="10" t="n"/>
      <c r="C292" s="10" t="n"/>
      <c r="D292" s="14" t="n"/>
      <c r="E292" s="10" t="n"/>
      <c r="F292" s="20">
        <f>IF(OR(A292="",B292=""),"",IF(OR(NOT(ISNUMBER(A292)),ISERROR(N292+O292+P292)),"Проверьте даты",IF(AND(N292&gt;0,P292&gt;1),"Дубль",IF(AND(N292&gt;0,O292&gt;0),O292,"Вне аренды"))))</f>
        <v/>
      </c>
      <c r="G292" s="12">
        <f>IF(ISNUMBER(F292),IFERROR(INDEX(Брони!$C$2:$C$500,MATCH(F292,Брони!$A$2:$A$500,0)),""),"")</f>
        <v/>
      </c>
      <c r="H292" s="10" t="n"/>
      <c r="I292" s="18" t="n"/>
      <c r="J292" s="12">
        <f>IF(AND(ISNUMBER(F292),I292&lt;&gt;""),IFERROR(IF(AND(INDEX(Брони!$F$2:$F$500,MATCH(F292,Брони!$A$2:$A$500,0))="Возвращена",I292&gt;INDEX(Брони!$E$2:$E$500,MATCH(F292,Брони!$A$2:$A$500,0))),"Да",""),""),"")</f>
        <v/>
      </c>
      <c r="K292" s="10" t="n"/>
      <c r="L292" s="14" t="n"/>
      <c r="M292" s="15">
        <f>IF(OR(A292="",B292=""),"",IF(AND(ISNUMBER(F292),H292&lt;&gt;"Компания"),D292+L292,0))</f>
        <v/>
      </c>
      <c r="N292" s="21">
        <f>SUMPRODUCT(MAX((Брони!$B$2:$B$500=B292)*((Брони!$F$2:$F$500="Выдана")+(Брони!$F$2:$F$500="Возвращена"))*(Брони!$D$2:$D$500&lt;=A292)*Брони!$D$2:$D$500))</f>
        <v/>
      </c>
      <c r="O292" s="19">
        <f>SUMPRODUCT((Брони!$B$2:$B$500=B292)*(Брони!$D$2:$D$500=N292)*((((Брони!$F$2:$F$500="Выдана")*NOW())+((Брони!$F$2:$F$500="Возвращена")*Брони!$E$2:$E$500))&gt;=A292)*Брони!$A$2:$A$500)</f>
        <v/>
      </c>
      <c r="P292" s="19">
        <f>SUMPRODUCT((Брони!$B$2:$B$500=B292)*(Брони!$D$2:$D$500=N292)*(((Брони!$F$2:$F$500="Выдана")+(Брони!$F$2:$F$500="Возвращена"))))</f>
        <v/>
      </c>
      <c r="Q292" s="10" t="n"/>
    </row>
    <row r="293">
      <c r="A293" s="11" t="n"/>
      <c r="B293" s="10" t="n"/>
      <c r="C293" s="10" t="n"/>
      <c r="D293" s="14" t="n"/>
      <c r="E293" s="10" t="n"/>
      <c r="F293" s="20">
        <f>IF(OR(A293="",B293=""),"",IF(OR(NOT(ISNUMBER(A293)),ISERROR(N293+O293+P293)),"Проверьте даты",IF(AND(N293&gt;0,P293&gt;1),"Дубль",IF(AND(N293&gt;0,O293&gt;0),O293,"Вне аренды"))))</f>
        <v/>
      </c>
      <c r="G293" s="12">
        <f>IF(ISNUMBER(F293),IFERROR(INDEX(Брони!$C$2:$C$500,MATCH(F293,Брони!$A$2:$A$500,0)),""),"")</f>
        <v/>
      </c>
      <c r="H293" s="10" t="n"/>
      <c r="I293" s="18" t="n"/>
      <c r="J293" s="12">
        <f>IF(AND(ISNUMBER(F293),I293&lt;&gt;""),IFERROR(IF(AND(INDEX(Брони!$F$2:$F$500,MATCH(F293,Брони!$A$2:$A$500,0))="Возвращена",I293&gt;INDEX(Брони!$E$2:$E$500,MATCH(F293,Брони!$A$2:$A$500,0))),"Да",""),""),"")</f>
        <v/>
      </c>
      <c r="K293" s="10" t="n"/>
      <c r="L293" s="14" t="n"/>
      <c r="M293" s="15">
        <f>IF(OR(A293="",B293=""),"",IF(AND(ISNUMBER(F293),H293&lt;&gt;"Компания"),D293+L293,0))</f>
        <v/>
      </c>
      <c r="N293" s="21">
        <f>SUMPRODUCT(MAX((Брони!$B$2:$B$500=B293)*((Брони!$F$2:$F$500="Выдана")+(Брони!$F$2:$F$500="Возвращена"))*(Брони!$D$2:$D$500&lt;=A293)*Брони!$D$2:$D$500))</f>
        <v/>
      </c>
      <c r="O293" s="19">
        <f>SUMPRODUCT((Брони!$B$2:$B$500=B293)*(Брони!$D$2:$D$500=N293)*((((Брони!$F$2:$F$500="Выдана")*NOW())+((Брони!$F$2:$F$500="Возвращена")*Брони!$E$2:$E$500))&gt;=A293)*Брони!$A$2:$A$500)</f>
        <v/>
      </c>
      <c r="P293" s="19">
        <f>SUMPRODUCT((Брони!$B$2:$B$500=B293)*(Брони!$D$2:$D$500=N293)*(((Брони!$F$2:$F$500="Выдана")+(Брони!$F$2:$F$500="Возвращена"))))</f>
        <v/>
      </c>
      <c r="Q293" s="10" t="n"/>
    </row>
    <row r="294">
      <c r="A294" s="11" t="n"/>
      <c r="B294" s="10" t="n"/>
      <c r="C294" s="10" t="n"/>
      <c r="D294" s="14" t="n"/>
      <c r="E294" s="10" t="n"/>
      <c r="F294" s="20">
        <f>IF(OR(A294="",B294=""),"",IF(OR(NOT(ISNUMBER(A294)),ISERROR(N294+O294+P294)),"Проверьте даты",IF(AND(N294&gt;0,P294&gt;1),"Дубль",IF(AND(N294&gt;0,O294&gt;0),O294,"Вне аренды"))))</f>
        <v/>
      </c>
      <c r="G294" s="12">
        <f>IF(ISNUMBER(F294),IFERROR(INDEX(Брони!$C$2:$C$500,MATCH(F294,Брони!$A$2:$A$500,0)),""),"")</f>
        <v/>
      </c>
      <c r="H294" s="10" t="n"/>
      <c r="I294" s="18" t="n"/>
      <c r="J294" s="12">
        <f>IF(AND(ISNUMBER(F294),I294&lt;&gt;""),IFERROR(IF(AND(INDEX(Брони!$F$2:$F$500,MATCH(F294,Брони!$A$2:$A$500,0))="Возвращена",I294&gt;INDEX(Брони!$E$2:$E$500,MATCH(F294,Брони!$A$2:$A$500,0))),"Да",""),""),"")</f>
        <v/>
      </c>
      <c r="K294" s="10" t="n"/>
      <c r="L294" s="14" t="n"/>
      <c r="M294" s="15">
        <f>IF(OR(A294="",B294=""),"",IF(AND(ISNUMBER(F294),H294&lt;&gt;"Компания"),D294+L294,0))</f>
        <v/>
      </c>
      <c r="N294" s="21">
        <f>SUMPRODUCT(MAX((Брони!$B$2:$B$500=B294)*((Брони!$F$2:$F$500="Выдана")+(Брони!$F$2:$F$500="Возвращена"))*(Брони!$D$2:$D$500&lt;=A294)*Брони!$D$2:$D$500))</f>
        <v/>
      </c>
      <c r="O294" s="19">
        <f>SUMPRODUCT((Брони!$B$2:$B$500=B294)*(Брони!$D$2:$D$500=N294)*((((Брони!$F$2:$F$500="Выдана")*NOW())+((Брони!$F$2:$F$500="Возвращена")*Брони!$E$2:$E$500))&gt;=A294)*Брони!$A$2:$A$500)</f>
        <v/>
      </c>
      <c r="P294" s="19">
        <f>SUMPRODUCT((Брони!$B$2:$B$500=B294)*(Брони!$D$2:$D$500=N294)*(((Брони!$F$2:$F$500="Выдана")+(Брони!$F$2:$F$500="Возвращена"))))</f>
        <v/>
      </c>
      <c r="Q294" s="10" t="n"/>
    </row>
    <row r="295">
      <c r="A295" s="11" t="n"/>
      <c r="B295" s="10" t="n"/>
      <c r="C295" s="10" t="n"/>
      <c r="D295" s="14" t="n"/>
      <c r="E295" s="10" t="n"/>
      <c r="F295" s="20">
        <f>IF(OR(A295="",B295=""),"",IF(OR(NOT(ISNUMBER(A295)),ISERROR(N295+O295+P295)),"Проверьте даты",IF(AND(N295&gt;0,P295&gt;1),"Дубль",IF(AND(N295&gt;0,O295&gt;0),O295,"Вне аренды"))))</f>
        <v/>
      </c>
      <c r="G295" s="12">
        <f>IF(ISNUMBER(F295),IFERROR(INDEX(Брони!$C$2:$C$500,MATCH(F295,Брони!$A$2:$A$500,0)),""),"")</f>
        <v/>
      </c>
      <c r="H295" s="10" t="n"/>
      <c r="I295" s="18" t="n"/>
      <c r="J295" s="12">
        <f>IF(AND(ISNUMBER(F295),I295&lt;&gt;""),IFERROR(IF(AND(INDEX(Брони!$F$2:$F$500,MATCH(F295,Брони!$A$2:$A$500,0))="Возвращена",I295&gt;INDEX(Брони!$E$2:$E$500,MATCH(F295,Брони!$A$2:$A$500,0))),"Да",""),""),"")</f>
        <v/>
      </c>
      <c r="K295" s="10" t="n"/>
      <c r="L295" s="14" t="n"/>
      <c r="M295" s="15">
        <f>IF(OR(A295="",B295=""),"",IF(AND(ISNUMBER(F295),H295&lt;&gt;"Компания"),D295+L295,0))</f>
        <v/>
      </c>
      <c r="N295" s="21">
        <f>SUMPRODUCT(MAX((Брони!$B$2:$B$500=B295)*((Брони!$F$2:$F$500="Выдана")+(Брони!$F$2:$F$500="Возвращена"))*(Брони!$D$2:$D$500&lt;=A295)*Брони!$D$2:$D$500))</f>
        <v/>
      </c>
      <c r="O295" s="19">
        <f>SUMPRODUCT((Брони!$B$2:$B$500=B295)*(Брони!$D$2:$D$500=N295)*((((Брони!$F$2:$F$500="Выдана")*NOW())+((Брони!$F$2:$F$500="Возвращена")*Брони!$E$2:$E$500))&gt;=A295)*Брони!$A$2:$A$500)</f>
        <v/>
      </c>
      <c r="P295" s="19">
        <f>SUMPRODUCT((Брони!$B$2:$B$500=B295)*(Брони!$D$2:$D$500=N295)*(((Брони!$F$2:$F$500="Выдана")+(Брони!$F$2:$F$500="Возвращена"))))</f>
        <v/>
      </c>
      <c r="Q295" s="10" t="n"/>
    </row>
    <row r="296">
      <c r="A296" s="11" t="n"/>
      <c r="B296" s="10" t="n"/>
      <c r="C296" s="10" t="n"/>
      <c r="D296" s="14" t="n"/>
      <c r="E296" s="10" t="n"/>
      <c r="F296" s="20">
        <f>IF(OR(A296="",B296=""),"",IF(OR(NOT(ISNUMBER(A296)),ISERROR(N296+O296+P296)),"Проверьте даты",IF(AND(N296&gt;0,P296&gt;1),"Дубль",IF(AND(N296&gt;0,O296&gt;0),O296,"Вне аренды"))))</f>
        <v/>
      </c>
      <c r="G296" s="12">
        <f>IF(ISNUMBER(F296),IFERROR(INDEX(Брони!$C$2:$C$500,MATCH(F296,Брони!$A$2:$A$500,0)),""),"")</f>
        <v/>
      </c>
      <c r="H296" s="10" t="n"/>
      <c r="I296" s="18" t="n"/>
      <c r="J296" s="12">
        <f>IF(AND(ISNUMBER(F296),I296&lt;&gt;""),IFERROR(IF(AND(INDEX(Брони!$F$2:$F$500,MATCH(F296,Брони!$A$2:$A$500,0))="Возвращена",I296&gt;INDEX(Брони!$E$2:$E$500,MATCH(F296,Брони!$A$2:$A$500,0))),"Да",""),""),"")</f>
        <v/>
      </c>
      <c r="K296" s="10" t="n"/>
      <c r="L296" s="14" t="n"/>
      <c r="M296" s="15">
        <f>IF(OR(A296="",B296=""),"",IF(AND(ISNUMBER(F296),H296&lt;&gt;"Компания"),D296+L296,0))</f>
        <v/>
      </c>
      <c r="N296" s="21">
        <f>SUMPRODUCT(MAX((Брони!$B$2:$B$500=B296)*((Брони!$F$2:$F$500="Выдана")+(Брони!$F$2:$F$500="Возвращена"))*(Брони!$D$2:$D$500&lt;=A296)*Брони!$D$2:$D$500))</f>
        <v/>
      </c>
      <c r="O296" s="19">
        <f>SUMPRODUCT((Брони!$B$2:$B$500=B296)*(Брони!$D$2:$D$500=N296)*((((Брони!$F$2:$F$500="Выдана")*NOW())+((Брони!$F$2:$F$500="Возвращена")*Брони!$E$2:$E$500))&gt;=A296)*Брони!$A$2:$A$500)</f>
        <v/>
      </c>
      <c r="P296" s="19">
        <f>SUMPRODUCT((Брони!$B$2:$B$500=B296)*(Брони!$D$2:$D$500=N296)*(((Брони!$F$2:$F$500="Выдана")+(Брони!$F$2:$F$500="Возвращена"))))</f>
        <v/>
      </c>
      <c r="Q296" s="10" t="n"/>
    </row>
    <row r="297">
      <c r="A297" s="11" t="n"/>
      <c r="B297" s="10" t="n"/>
      <c r="C297" s="10" t="n"/>
      <c r="D297" s="14" t="n"/>
      <c r="E297" s="10" t="n"/>
      <c r="F297" s="20">
        <f>IF(OR(A297="",B297=""),"",IF(OR(NOT(ISNUMBER(A297)),ISERROR(N297+O297+P297)),"Проверьте даты",IF(AND(N297&gt;0,P297&gt;1),"Дубль",IF(AND(N297&gt;0,O297&gt;0),O297,"Вне аренды"))))</f>
        <v/>
      </c>
      <c r="G297" s="12">
        <f>IF(ISNUMBER(F297),IFERROR(INDEX(Брони!$C$2:$C$500,MATCH(F297,Брони!$A$2:$A$500,0)),""),"")</f>
        <v/>
      </c>
      <c r="H297" s="10" t="n"/>
      <c r="I297" s="18" t="n"/>
      <c r="J297" s="12">
        <f>IF(AND(ISNUMBER(F297),I297&lt;&gt;""),IFERROR(IF(AND(INDEX(Брони!$F$2:$F$500,MATCH(F297,Брони!$A$2:$A$500,0))="Возвращена",I297&gt;INDEX(Брони!$E$2:$E$500,MATCH(F297,Брони!$A$2:$A$500,0))),"Да",""),""),"")</f>
        <v/>
      </c>
      <c r="K297" s="10" t="n"/>
      <c r="L297" s="14" t="n"/>
      <c r="M297" s="15">
        <f>IF(OR(A297="",B297=""),"",IF(AND(ISNUMBER(F297),H297&lt;&gt;"Компания"),D297+L297,0))</f>
        <v/>
      </c>
      <c r="N297" s="21">
        <f>SUMPRODUCT(MAX((Брони!$B$2:$B$500=B297)*((Брони!$F$2:$F$500="Выдана")+(Брони!$F$2:$F$500="Возвращена"))*(Брони!$D$2:$D$500&lt;=A297)*Брони!$D$2:$D$500))</f>
        <v/>
      </c>
      <c r="O297" s="19">
        <f>SUMPRODUCT((Брони!$B$2:$B$500=B297)*(Брони!$D$2:$D$500=N297)*((((Брони!$F$2:$F$500="Выдана")*NOW())+((Брони!$F$2:$F$500="Возвращена")*Брони!$E$2:$E$500))&gt;=A297)*Брони!$A$2:$A$500)</f>
        <v/>
      </c>
      <c r="P297" s="19">
        <f>SUMPRODUCT((Брони!$B$2:$B$500=B297)*(Брони!$D$2:$D$500=N297)*(((Брони!$F$2:$F$500="Выдана")+(Брони!$F$2:$F$500="Возвращена"))))</f>
        <v/>
      </c>
      <c r="Q297" s="10" t="n"/>
    </row>
    <row r="298">
      <c r="A298" s="11" t="n"/>
      <c r="B298" s="10" t="n"/>
      <c r="C298" s="10" t="n"/>
      <c r="D298" s="14" t="n"/>
      <c r="E298" s="10" t="n"/>
      <c r="F298" s="20">
        <f>IF(OR(A298="",B298=""),"",IF(OR(NOT(ISNUMBER(A298)),ISERROR(N298+O298+P298)),"Проверьте даты",IF(AND(N298&gt;0,P298&gt;1),"Дубль",IF(AND(N298&gt;0,O298&gt;0),O298,"Вне аренды"))))</f>
        <v/>
      </c>
      <c r="G298" s="12">
        <f>IF(ISNUMBER(F298),IFERROR(INDEX(Брони!$C$2:$C$500,MATCH(F298,Брони!$A$2:$A$500,0)),""),"")</f>
        <v/>
      </c>
      <c r="H298" s="10" t="n"/>
      <c r="I298" s="18" t="n"/>
      <c r="J298" s="12">
        <f>IF(AND(ISNUMBER(F298),I298&lt;&gt;""),IFERROR(IF(AND(INDEX(Брони!$F$2:$F$500,MATCH(F298,Брони!$A$2:$A$500,0))="Возвращена",I298&gt;INDEX(Брони!$E$2:$E$500,MATCH(F298,Брони!$A$2:$A$500,0))),"Да",""),""),"")</f>
        <v/>
      </c>
      <c r="K298" s="10" t="n"/>
      <c r="L298" s="14" t="n"/>
      <c r="M298" s="15">
        <f>IF(OR(A298="",B298=""),"",IF(AND(ISNUMBER(F298),H298&lt;&gt;"Компания"),D298+L298,0))</f>
        <v/>
      </c>
      <c r="N298" s="21">
        <f>SUMPRODUCT(MAX((Брони!$B$2:$B$500=B298)*((Брони!$F$2:$F$500="Выдана")+(Брони!$F$2:$F$500="Возвращена"))*(Брони!$D$2:$D$500&lt;=A298)*Брони!$D$2:$D$500))</f>
        <v/>
      </c>
      <c r="O298" s="19">
        <f>SUMPRODUCT((Брони!$B$2:$B$500=B298)*(Брони!$D$2:$D$500=N298)*((((Брони!$F$2:$F$500="Выдана")*NOW())+((Брони!$F$2:$F$500="Возвращена")*Брони!$E$2:$E$500))&gt;=A298)*Брони!$A$2:$A$500)</f>
        <v/>
      </c>
      <c r="P298" s="19">
        <f>SUMPRODUCT((Брони!$B$2:$B$500=B298)*(Брони!$D$2:$D$500=N298)*(((Брони!$F$2:$F$500="Выдана")+(Брони!$F$2:$F$500="Возвращена"))))</f>
        <v/>
      </c>
      <c r="Q298" s="10" t="n"/>
    </row>
    <row r="299">
      <c r="A299" s="11" t="n"/>
      <c r="B299" s="10" t="n"/>
      <c r="C299" s="10" t="n"/>
      <c r="D299" s="14" t="n"/>
      <c r="E299" s="10" t="n"/>
      <c r="F299" s="20">
        <f>IF(OR(A299="",B299=""),"",IF(OR(NOT(ISNUMBER(A299)),ISERROR(N299+O299+P299)),"Проверьте даты",IF(AND(N299&gt;0,P299&gt;1),"Дубль",IF(AND(N299&gt;0,O299&gt;0),O299,"Вне аренды"))))</f>
        <v/>
      </c>
      <c r="G299" s="12">
        <f>IF(ISNUMBER(F299),IFERROR(INDEX(Брони!$C$2:$C$500,MATCH(F299,Брони!$A$2:$A$500,0)),""),"")</f>
        <v/>
      </c>
      <c r="H299" s="10" t="n"/>
      <c r="I299" s="18" t="n"/>
      <c r="J299" s="12">
        <f>IF(AND(ISNUMBER(F299),I299&lt;&gt;""),IFERROR(IF(AND(INDEX(Брони!$F$2:$F$500,MATCH(F299,Брони!$A$2:$A$500,0))="Возвращена",I299&gt;INDEX(Брони!$E$2:$E$500,MATCH(F299,Брони!$A$2:$A$500,0))),"Да",""),""),"")</f>
        <v/>
      </c>
      <c r="K299" s="10" t="n"/>
      <c r="L299" s="14" t="n"/>
      <c r="M299" s="15">
        <f>IF(OR(A299="",B299=""),"",IF(AND(ISNUMBER(F299),H299&lt;&gt;"Компания"),D299+L299,0))</f>
        <v/>
      </c>
      <c r="N299" s="21">
        <f>SUMPRODUCT(MAX((Брони!$B$2:$B$500=B299)*((Брони!$F$2:$F$500="Выдана")+(Брони!$F$2:$F$500="Возвращена"))*(Брони!$D$2:$D$500&lt;=A299)*Брони!$D$2:$D$500))</f>
        <v/>
      </c>
      <c r="O299" s="19">
        <f>SUMPRODUCT((Брони!$B$2:$B$500=B299)*(Брони!$D$2:$D$500=N299)*((((Брони!$F$2:$F$500="Выдана")*NOW())+((Брони!$F$2:$F$500="Возвращена")*Брони!$E$2:$E$500))&gt;=A299)*Брони!$A$2:$A$500)</f>
        <v/>
      </c>
      <c r="P299" s="19">
        <f>SUMPRODUCT((Брони!$B$2:$B$500=B299)*(Брони!$D$2:$D$500=N299)*(((Брони!$F$2:$F$500="Выдана")+(Брони!$F$2:$F$500="Возвращена"))))</f>
        <v/>
      </c>
      <c r="Q299" s="10" t="n"/>
    </row>
    <row r="300">
      <c r="A300" s="11" t="n"/>
      <c r="B300" s="10" t="n"/>
      <c r="C300" s="10" t="n"/>
      <c r="D300" s="14" t="n"/>
      <c r="E300" s="10" t="n"/>
      <c r="F300" s="20">
        <f>IF(OR(A300="",B300=""),"",IF(OR(NOT(ISNUMBER(A300)),ISERROR(N300+O300+P300)),"Проверьте даты",IF(AND(N300&gt;0,P300&gt;1),"Дубль",IF(AND(N300&gt;0,O300&gt;0),O300,"Вне аренды"))))</f>
        <v/>
      </c>
      <c r="G300" s="12">
        <f>IF(ISNUMBER(F300),IFERROR(INDEX(Брони!$C$2:$C$500,MATCH(F300,Брони!$A$2:$A$500,0)),""),"")</f>
        <v/>
      </c>
      <c r="H300" s="10" t="n"/>
      <c r="I300" s="18" t="n"/>
      <c r="J300" s="12">
        <f>IF(AND(ISNUMBER(F300),I300&lt;&gt;""),IFERROR(IF(AND(INDEX(Брони!$F$2:$F$500,MATCH(F300,Брони!$A$2:$A$500,0))="Возвращена",I300&gt;INDEX(Брони!$E$2:$E$500,MATCH(F300,Брони!$A$2:$A$500,0))),"Да",""),""),"")</f>
        <v/>
      </c>
      <c r="K300" s="10" t="n"/>
      <c r="L300" s="14" t="n"/>
      <c r="M300" s="15">
        <f>IF(OR(A300="",B300=""),"",IF(AND(ISNUMBER(F300),H300&lt;&gt;"Компания"),D300+L300,0))</f>
        <v/>
      </c>
      <c r="N300" s="21">
        <f>SUMPRODUCT(MAX((Брони!$B$2:$B$500=B300)*((Брони!$F$2:$F$500="Выдана")+(Брони!$F$2:$F$500="Возвращена"))*(Брони!$D$2:$D$500&lt;=A300)*Брони!$D$2:$D$500))</f>
        <v/>
      </c>
      <c r="O300" s="19">
        <f>SUMPRODUCT((Брони!$B$2:$B$500=B300)*(Брони!$D$2:$D$500=N300)*((((Брони!$F$2:$F$500="Выдана")*NOW())+((Брони!$F$2:$F$500="Возвращена")*Брони!$E$2:$E$500))&gt;=A300)*Брони!$A$2:$A$500)</f>
        <v/>
      </c>
      <c r="P300" s="19">
        <f>SUMPRODUCT((Брони!$B$2:$B$500=B300)*(Брони!$D$2:$D$500=N300)*(((Брони!$F$2:$F$500="Выдана")+(Брони!$F$2:$F$500="Возвращена"))))</f>
        <v/>
      </c>
      <c r="Q300" s="10" t="n"/>
    </row>
    <row r="301">
      <c r="A301" s="11" t="n"/>
      <c r="B301" s="10" t="n"/>
      <c r="C301" s="10" t="n"/>
      <c r="D301" s="14" t="n"/>
      <c r="E301" s="10" t="n"/>
      <c r="F301" s="20">
        <f>IF(OR(A301="",B301=""),"",IF(OR(NOT(ISNUMBER(A301)),ISERROR(N301+O301+P301)),"Проверьте даты",IF(AND(N301&gt;0,P301&gt;1),"Дубль",IF(AND(N301&gt;0,O301&gt;0),O301,"Вне аренды"))))</f>
        <v/>
      </c>
      <c r="G301" s="12">
        <f>IF(ISNUMBER(F301),IFERROR(INDEX(Брони!$C$2:$C$500,MATCH(F301,Брони!$A$2:$A$500,0)),""),"")</f>
        <v/>
      </c>
      <c r="H301" s="10" t="n"/>
      <c r="I301" s="18" t="n"/>
      <c r="J301" s="12">
        <f>IF(AND(ISNUMBER(F301),I301&lt;&gt;""),IFERROR(IF(AND(INDEX(Брони!$F$2:$F$500,MATCH(F301,Брони!$A$2:$A$500,0))="Возвращена",I301&gt;INDEX(Брони!$E$2:$E$500,MATCH(F301,Брони!$A$2:$A$500,0))),"Да",""),""),"")</f>
        <v/>
      </c>
      <c r="K301" s="10" t="n"/>
      <c r="L301" s="14" t="n"/>
      <c r="M301" s="15">
        <f>IF(OR(A301="",B301=""),"",IF(AND(ISNUMBER(F301),H301&lt;&gt;"Компания"),D301+L301,0))</f>
        <v/>
      </c>
      <c r="N301" s="21">
        <f>SUMPRODUCT(MAX((Брони!$B$2:$B$500=B301)*((Брони!$F$2:$F$500="Выдана")+(Брони!$F$2:$F$500="Возвращена"))*(Брони!$D$2:$D$500&lt;=A301)*Брони!$D$2:$D$500))</f>
        <v/>
      </c>
      <c r="O301" s="19">
        <f>SUMPRODUCT((Брони!$B$2:$B$500=B301)*(Брони!$D$2:$D$500=N301)*((((Брони!$F$2:$F$500="Выдана")*NOW())+((Брони!$F$2:$F$500="Возвращена")*Брони!$E$2:$E$500))&gt;=A301)*Брони!$A$2:$A$500)</f>
        <v/>
      </c>
      <c r="P301" s="19">
        <f>SUMPRODUCT((Брони!$B$2:$B$500=B301)*(Брони!$D$2:$D$500=N301)*(((Брони!$F$2:$F$500="Выдана")+(Брони!$F$2:$F$500="Возвращена"))))</f>
        <v/>
      </c>
      <c r="Q301" s="10" t="n"/>
    </row>
    <row r="302">
      <c r="A302" s="11" t="n"/>
      <c r="B302" s="10" t="n"/>
      <c r="C302" s="10" t="n"/>
      <c r="D302" s="14" t="n"/>
      <c r="E302" s="10" t="n"/>
      <c r="F302" s="20">
        <f>IF(OR(A302="",B302=""),"",IF(OR(NOT(ISNUMBER(A302)),ISERROR(N302+O302+P302)),"Проверьте даты",IF(AND(N302&gt;0,P302&gt;1),"Дубль",IF(AND(N302&gt;0,O302&gt;0),O302,"Вне аренды"))))</f>
        <v/>
      </c>
      <c r="G302" s="12">
        <f>IF(ISNUMBER(F302),IFERROR(INDEX(Брони!$C$2:$C$500,MATCH(F302,Брони!$A$2:$A$500,0)),""),"")</f>
        <v/>
      </c>
      <c r="H302" s="10" t="n"/>
      <c r="I302" s="18" t="n"/>
      <c r="J302" s="12">
        <f>IF(AND(ISNUMBER(F302),I302&lt;&gt;""),IFERROR(IF(AND(INDEX(Брони!$F$2:$F$500,MATCH(F302,Брони!$A$2:$A$500,0))="Возвращена",I302&gt;INDEX(Брони!$E$2:$E$500,MATCH(F302,Брони!$A$2:$A$500,0))),"Да",""),""),"")</f>
        <v/>
      </c>
      <c r="K302" s="10" t="n"/>
      <c r="L302" s="14" t="n"/>
      <c r="M302" s="15">
        <f>IF(OR(A302="",B302=""),"",IF(AND(ISNUMBER(F302),H302&lt;&gt;"Компания"),D302+L302,0))</f>
        <v/>
      </c>
      <c r="N302" s="21">
        <f>SUMPRODUCT(MAX((Брони!$B$2:$B$500=B302)*((Брони!$F$2:$F$500="Выдана")+(Брони!$F$2:$F$500="Возвращена"))*(Брони!$D$2:$D$500&lt;=A302)*Брони!$D$2:$D$500))</f>
        <v/>
      </c>
      <c r="O302" s="19">
        <f>SUMPRODUCT((Брони!$B$2:$B$500=B302)*(Брони!$D$2:$D$500=N302)*((((Брони!$F$2:$F$500="Выдана")*NOW())+((Брони!$F$2:$F$500="Возвращена")*Брони!$E$2:$E$500))&gt;=A302)*Брони!$A$2:$A$500)</f>
        <v/>
      </c>
      <c r="P302" s="19">
        <f>SUMPRODUCT((Брони!$B$2:$B$500=B302)*(Брони!$D$2:$D$500=N302)*(((Брони!$F$2:$F$500="Выдана")+(Брони!$F$2:$F$500="Возвращена"))))</f>
        <v/>
      </c>
      <c r="Q302" s="10" t="n"/>
    </row>
    <row r="303">
      <c r="A303" s="11" t="n"/>
      <c r="B303" s="10" t="n"/>
      <c r="C303" s="10" t="n"/>
      <c r="D303" s="14" t="n"/>
      <c r="E303" s="10" t="n"/>
      <c r="F303" s="20">
        <f>IF(OR(A303="",B303=""),"",IF(OR(NOT(ISNUMBER(A303)),ISERROR(N303+O303+P303)),"Проверьте даты",IF(AND(N303&gt;0,P303&gt;1),"Дубль",IF(AND(N303&gt;0,O303&gt;0),O303,"Вне аренды"))))</f>
        <v/>
      </c>
      <c r="G303" s="12">
        <f>IF(ISNUMBER(F303),IFERROR(INDEX(Брони!$C$2:$C$500,MATCH(F303,Брони!$A$2:$A$500,0)),""),"")</f>
        <v/>
      </c>
      <c r="H303" s="10" t="n"/>
      <c r="I303" s="18" t="n"/>
      <c r="J303" s="12">
        <f>IF(AND(ISNUMBER(F303),I303&lt;&gt;""),IFERROR(IF(AND(INDEX(Брони!$F$2:$F$500,MATCH(F303,Брони!$A$2:$A$500,0))="Возвращена",I303&gt;INDEX(Брони!$E$2:$E$500,MATCH(F303,Брони!$A$2:$A$500,0))),"Да",""),""),"")</f>
        <v/>
      </c>
      <c r="K303" s="10" t="n"/>
      <c r="L303" s="14" t="n"/>
      <c r="M303" s="15">
        <f>IF(OR(A303="",B303=""),"",IF(AND(ISNUMBER(F303),H303&lt;&gt;"Компания"),D303+L303,0))</f>
        <v/>
      </c>
      <c r="N303" s="21">
        <f>SUMPRODUCT(MAX((Брони!$B$2:$B$500=B303)*((Брони!$F$2:$F$500="Выдана")+(Брони!$F$2:$F$500="Возвращена"))*(Брони!$D$2:$D$500&lt;=A303)*Брони!$D$2:$D$500))</f>
        <v/>
      </c>
      <c r="O303" s="19">
        <f>SUMPRODUCT((Брони!$B$2:$B$500=B303)*(Брони!$D$2:$D$500=N303)*((((Брони!$F$2:$F$500="Выдана")*NOW())+((Брони!$F$2:$F$500="Возвращена")*Брони!$E$2:$E$500))&gt;=A303)*Брони!$A$2:$A$500)</f>
        <v/>
      </c>
      <c r="P303" s="19">
        <f>SUMPRODUCT((Брони!$B$2:$B$500=B303)*(Брони!$D$2:$D$500=N303)*(((Брони!$F$2:$F$500="Выдана")+(Брони!$F$2:$F$500="Возвращена"))))</f>
        <v/>
      </c>
      <c r="Q303" s="10" t="n"/>
    </row>
    <row r="304">
      <c r="A304" s="11" t="n"/>
      <c r="B304" s="10" t="n"/>
      <c r="C304" s="10" t="n"/>
      <c r="D304" s="14" t="n"/>
      <c r="E304" s="10" t="n"/>
      <c r="F304" s="20">
        <f>IF(OR(A304="",B304=""),"",IF(OR(NOT(ISNUMBER(A304)),ISERROR(N304+O304+P304)),"Проверьте даты",IF(AND(N304&gt;0,P304&gt;1),"Дубль",IF(AND(N304&gt;0,O304&gt;0),O304,"Вне аренды"))))</f>
        <v/>
      </c>
      <c r="G304" s="12">
        <f>IF(ISNUMBER(F304),IFERROR(INDEX(Брони!$C$2:$C$500,MATCH(F304,Брони!$A$2:$A$500,0)),""),"")</f>
        <v/>
      </c>
      <c r="H304" s="10" t="n"/>
      <c r="I304" s="18" t="n"/>
      <c r="J304" s="12">
        <f>IF(AND(ISNUMBER(F304),I304&lt;&gt;""),IFERROR(IF(AND(INDEX(Брони!$F$2:$F$500,MATCH(F304,Брони!$A$2:$A$500,0))="Возвращена",I304&gt;INDEX(Брони!$E$2:$E$500,MATCH(F304,Брони!$A$2:$A$500,0))),"Да",""),""),"")</f>
        <v/>
      </c>
      <c r="K304" s="10" t="n"/>
      <c r="L304" s="14" t="n"/>
      <c r="M304" s="15">
        <f>IF(OR(A304="",B304=""),"",IF(AND(ISNUMBER(F304),H304&lt;&gt;"Компания"),D304+L304,0))</f>
        <v/>
      </c>
      <c r="N304" s="21">
        <f>SUMPRODUCT(MAX((Брони!$B$2:$B$500=B304)*((Брони!$F$2:$F$500="Выдана")+(Брони!$F$2:$F$500="Возвращена"))*(Брони!$D$2:$D$500&lt;=A304)*Брони!$D$2:$D$500))</f>
        <v/>
      </c>
      <c r="O304" s="19">
        <f>SUMPRODUCT((Брони!$B$2:$B$500=B304)*(Брони!$D$2:$D$500=N304)*((((Брони!$F$2:$F$500="Выдана")*NOW())+((Брони!$F$2:$F$500="Возвращена")*Брони!$E$2:$E$500))&gt;=A304)*Брони!$A$2:$A$500)</f>
        <v/>
      </c>
      <c r="P304" s="19">
        <f>SUMPRODUCT((Брони!$B$2:$B$500=B304)*(Брони!$D$2:$D$500=N304)*(((Брони!$F$2:$F$500="Выдана")+(Брони!$F$2:$F$500="Возвращена"))))</f>
        <v/>
      </c>
      <c r="Q304" s="10" t="n"/>
    </row>
    <row r="305">
      <c r="A305" s="11" t="n"/>
      <c r="B305" s="10" t="n"/>
      <c r="C305" s="10" t="n"/>
      <c r="D305" s="14" t="n"/>
      <c r="E305" s="10" t="n"/>
      <c r="F305" s="20">
        <f>IF(OR(A305="",B305=""),"",IF(OR(NOT(ISNUMBER(A305)),ISERROR(N305+O305+P305)),"Проверьте даты",IF(AND(N305&gt;0,P305&gt;1),"Дубль",IF(AND(N305&gt;0,O305&gt;0),O305,"Вне аренды"))))</f>
        <v/>
      </c>
      <c r="G305" s="12">
        <f>IF(ISNUMBER(F305),IFERROR(INDEX(Брони!$C$2:$C$500,MATCH(F305,Брони!$A$2:$A$500,0)),""),"")</f>
        <v/>
      </c>
      <c r="H305" s="10" t="n"/>
      <c r="I305" s="18" t="n"/>
      <c r="J305" s="12">
        <f>IF(AND(ISNUMBER(F305),I305&lt;&gt;""),IFERROR(IF(AND(INDEX(Брони!$F$2:$F$500,MATCH(F305,Брони!$A$2:$A$500,0))="Возвращена",I305&gt;INDEX(Брони!$E$2:$E$500,MATCH(F305,Брони!$A$2:$A$500,0))),"Да",""),""),"")</f>
        <v/>
      </c>
      <c r="K305" s="10" t="n"/>
      <c r="L305" s="14" t="n"/>
      <c r="M305" s="15">
        <f>IF(OR(A305="",B305=""),"",IF(AND(ISNUMBER(F305),H305&lt;&gt;"Компания"),D305+L305,0))</f>
        <v/>
      </c>
      <c r="N305" s="21">
        <f>SUMPRODUCT(MAX((Брони!$B$2:$B$500=B305)*((Брони!$F$2:$F$500="Выдана")+(Брони!$F$2:$F$500="Возвращена"))*(Брони!$D$2:$D$500&lt;=A305)*Брони!$D$2:$D$500))</f>
        <v/>
      </c>
      <c r="O305" s="19">
        <f>SUMPRODUCT((Брони!$B$2:$B$500=B305)*(Брони!$D$2:$D$500=N305)*((((Брони!$F$2:$F$500="Выдана")*NOW())+((Брони!$F$2:$F$500="Возвращена")*Брони!$E$2:$E$500))&gt;=A305)*Брони!$A$2:$A$500)</f>
        <v/>
      </c>
      <c r="P305" s="19">
        <f>SUMPRODUCT((Брони!$B$2:$B$500=B305)*(Брони!$D$2:$D$500=N305)*(((Брони!$F$2:$F$500="Выдана")+(Брони!$F$2:$F$500="Возвращена"))))</f>
        <v/>
      </c>
      <c r="Q305" s="10" t="n"/>
    </row>
    <row r="306">
      <c r="A306" s="11" t="n"/>
      <c r="B306" s="10" t="n"/>
      <c r="C306" s="10" t="n"/>
      <c r="D306" s="14" t="n"/>
      <c r="E306" s="10" t="n"/>
      <c r="F306" s="20">
        <f>IF(OR(A306="",B306=""),"",IF(OR(NOT(ISNUMBER(A306)),ISERROR(N306+O306+P306)),"Проверьте даты",IF(AND(N306&gt;0,P306&gt;1),"Дубль",IF(AND(N306&gt;0,O306&gt;0),O306,"Вне аренды"))))</f>
        <v/>
      </c>
      <c r="G306" s="12">
        <f>IF(ISNUMBER(F306),IFERROR(INDEX(Брони!$C$2:$C$500,MATCH(F306,Брони!$A$2:$A$500,0)),""),"")</f>
        <v/>
      </c>
      <c r="H306" s="10" t="n"/>
      <c r="I306" s="18" t="n"/>
      <c r="J306" s="12">
        <f>IF(AND(ISNUMBER(F306),I306&lt;&gt;""),IFERROR(IF(AND(INDEX(Брони!$F$2:$F$500,MATCH(F306,Брони!$A$2:$A$500,0))="Возвращена",I306&gt;INDEX(Брони!$E$2:$E$500,MATCH(F306,Брони!$A$2:$A$500,0))),"Да",""),""),"")</f>
        <v/>
      </c>
      <c r="K306" s="10" t="n"/>
      <c r="L306" s="14" t="n"/>
      <c r="M306" s="15">
        <f>IF(OR(A306="",B306=""),"",IF(AND(ISNUMBER(F306),H306&lt;&gt;"Компания"),D306+L306,0))</f>
        <v/>
      </c>
      <c r="N306" s="21">
        <f>SUMPRODUCT(MAX((Брони!$B$2:$B$500=B306)*((Брони!$F$2:$F$500="Выдана")+(Брони!$F$2:$F$500="Возвращена"))*(Брони!$D$2:$D$500&lt;=A306)*Брони!$D$2:$D$500))</f>
        <v/>
      </c>
      <c r="O306" s="19">
        <f>SUMPRODUCT((Брони!$B$2:$B$500=B306)*(Брони!$D$2:$D$500=N306)*((((Брони!$F$2:$F$500="Выдана")*NOW())+((Брони!$F$2:$F$500="Возвращена")*Брони!$E$2:$E$500))&gt;=A306)*Брони!$A$2:$A$500)</f>
        <v/>
      </c>
      <c r="P306" s="19">
        <f>SUMPRODUCT((Брони!$B$2:$B$500=B306)*(Брони!$D$2:$D$500=N306)*(((Брони!$F$2:$F$500="Выдана")+(Брони!$F$2:$F$500="Возвращена"))))</f>
        <v/>
      </c>
      <c r="Q306" s="10" t="n"/>
    </row>
    <row r="307">
      <c r="A307" s="11" t="n"/>
      <c r="B307" s="10" t="n"/>
      <c r="C307" s="10" t="n"/>
      <c r="D307" s="14" t="n"/>
      <c r="E307" s="10" t="n"/>
      <c r="F307" s="20">
        <f>IF(OR(A307="",B307=""),"",IF(OR(NOT(ISNUMBER(A307)),ISERROR(N307+O307+P307)),"Проверьте даты",IF(AND(N307&gt;0,P307&gt;1),"Дубль",IF(AND(N307&gt;0,O307&gt;0),O307,"Вне аренды"))))</f>
        <v/>
      </c>
      <c r="G307" s="12">
        <f>IF(ISNUMBER(F307),IFERROR(INDEX(Брони!$C$2:$C$500,MATCH(F307,Брони!$A$2:$A$500,0)),""),"")</f>
        <v/>
      </c>
      <c r="H307" s="10" t="n"/>
      <c r="I307" s="18" t="n"/>
      <c r="J307" s="12">
        <f>IF(AND(ISNUMBER(F307),I307&lt;&gt;""),IFERROR(IF(AND(INDEX(Брони!$F$2:$F$500,MATCH(F307,Брони!$A$2:$A$500,0))="Возвращена",I307&gt;INDEX(Брони!$E$2:$E$500,MATCH(F307,Брони!$A$2:$A$500,0))),"Да",""),""),"")</f>
        <v/>
      </c>
      <c r="K307" s="10" t="n"/>
      <c r="L307" s="14" t="n"/>
      <c r="M307" s="15">
        <f>IF(OR(A307="",B307=""),"",IF(AND(ISNUMBER(F307),H307&lt;&gt;"Компания"),D307+L307,0))</f>
        <v/>
      </c>
      <c r="N307" s="21">
        <f>SUMPRODUCT(MAX((Брони!$B$2:$B$500=B307)*((Брони!$F$2:$F$500="Выдана")+(Брони!$F$2:$F$500="Возвращена"))*(Брони!$D$2:$D$500&lt;=A307)*Брони!$D$2:$D$500))</f>
        <v/>
      </c>
      <c r="O307" s="19">
        <f>SUMPRODUCT((Брони!$B$2:$B$500=B307)*(Брони!$D$2:$D$500=N307)*((((Брони!$F$2:$F$500="Выдана")*NOW())+((Брони!$F$2:$F$500="Возвращена")*Брони!$E$2:$E$500))&gt;=A307)*Брони!$A$2:$A$500)</f>
        <v/>
      </c>
      <c r="P307" s="19">
        <f>SUMPRODUCT((Брони!$B$2:$B$500=B307)*(Брони!$D$2:$D$500=N307)*(((Брони!$F$2:$F$500="Выдана")+(Брони!$F$2:$F$500="Возвращена"))))</f>
        <v/>
      </c>
      <c r="Q307" s="10" t="n"/>
    </row>
    <row r="308">
      <c r="A308" s="11" t="n"/>
      <c r="B308" s="10" t="n"/>
      <c r="C308" s="10" t="n"/>
      <c r="D308" s="14" t="n"/>
      <c r="E308" s="10" t="n"/>
      <c r="F308" s="20">
        <f>IF(OR(A308="",B308=""),"",IF(OR(NOT(ISNUMBER(A308)),ISERROR(N308+O308+P308)),"Проверьте даты",IF(AND(N308&gt;0,P308&gt;1),"Дубль",IF(AND(N308&gt;0,O308&gt;0),O308,"Вне аренды"))))</f>
        <v/>
      </c>
      <c r="G308" s="12">
        <f>IF(ISNUMBER(F308),IFERROR(INDEX(Брони!$C$2:$C$500,MATCH(F308,Брони!$A$2:$A$500,0)),""),"")</f>
        <v/>
      </c>
      <c r="H308" s="10" t="n"/>
      <c r="I308" s="18" t="n"/>
      <c r="J308" s="12">
        <f>IF(AND(ISNUMBER(F308),I308&lt;&gt;""),IFERROR(IF(AND(INDEX(Брони!$F$2:$F$500,MATCH(F308,Брони!$A$2:$A$500,0))="Возвращена",I308&gt;INDEX(Брони!$E$2:$E$500,MATCH(F308,Брони!$A$2:$A$500,0))),"Да",""),""),"")</f>
        <v/>
      </c>
      <c r="K308" s="10" t="n"/>
      <c r="L308" s="14" t="n"/>
      <c r="M308" s="15">
        <f>IF(OR(A308="",B308=""),"",IF(AND(ISNUMBER(F308),H308&lt;&gt;"Компания"),D308+L308,0))</f>
        <v/>
      </c>
      <c r="N308" s="21">
        <f>SUMPRODUCT(MAX((Брони!$B$2:$B$500=B308)*((Брони!$F$2:$F$500="Выдана")+(Брони!$F$2:$F$500="Возвращена"))*(Брони!$D$2:$D$500&lt;=A308)*Брони!$D$2:$D$500))</f>
        <v/>
      </c>
      <c r="O308" s="19">
        <f>SUMPRODUCT((Брони!$B$2:$B$500=B308)*(Брони!$D$2:$D$500=N308)*((((Брони!$F$2:$F$500="Выдана")*NOW())+((Брони!$F$2:$F$500="Возвращена")*Брони!$E$2:$E$500))&gt;=A308)*Брони!$A$2:$A$500)</f>
        <v/>
      </c>
      <c r="P308" s="19">
        <f>SUMPRODUCT((Брони!$B$2:$B$500=B308)*(Брони!$D$2:$D$500=N308)*(((Брони!$F$2:$F$500="Выдана")+(Брони!$F$2:$F$500="Возвращена"))))</f>
        <v/>
      </c>
      <c r="Q308" s="10" t="n"/>
    </row>
    <row r="309">
      <c r="A309" s="11" t="n"/>
      <c r="B309" s="10" t="n"/>
      <c r="C309" s="10" t="n"/>
      <c r="D309" s="14" t="n"/>
      <c r="E309" s="10" t="n"/>
      <c r="F309" s="20">
        <f>IF(OR(A309="",B309=""),"",IF(OR(NOT(ISNUMBER(A309)),ISERROR(N309+O309+P309)),"Проверьте даты",IF(AND(N309&gt;0,P309&gt;1),"Дубль",IF(AND(N309&gt;0,O309&gt;0),O309,"Вне аренды"))))</f>
        <v/>
      </c>
      <c r="G309" s="12">
        <f>IF(ISNUMBER(F309),IFERROR(INDEX(Брони!$C$2:$C$500,MATCH(F309,Брони!$A$2:$A$500,0)),""),"")</f>
        <v/>
      </c>
      <c r="H309" s="10" t="n"/>
      <c r="I309" s="18" t="n"/>
      <c r="J309" s="12">
        <f>IF(AND(ISNUMBER(F309),I309&lt;&gt;""),IFERROR(IF(AND(INDEX(Брони!$F$2:$F$500,MATCH(F309,Брони!$A$2:$A$500,0))="Возвращена",I309&gt;INDEX(Брони!$E$2:$E$500,MATCH(F309,Брони!$A$2:$A$500,0))),"Да",""),""),"")</f>
        <v/>
      </c>
      <c r="K309" s="10" t="n"/>
      <c r="L309" s="14" t="n"/>
      <c r="M309" s="15">
        <f>IF(OR(A309="",B309=""),"",IF(AND(ISNUMBER(F309),H309&lt;&gt;"Компания"),D309+L309,0))</f>
        <v/>
      </c>
      <c r="N309" s="21">
        <f>SUMPRODUCT(MAX((Брони!$B$2:$B$500=B309)*((Брони!$F$2:$F$500="Выдана")+(Брони!$F$2:$F$500="Возвращена"))*(Брони!$D$2:$D$500&lt;=A309)*Брони!$D$2:$D$500))</f>
        <v/>
      </c>
      <c r="O309" s="19">
        <f>SUMPRODUCT((Брони!$B$2:$B$500=B309)*(Брони!$D$2:$D$500=N309)*((((Брони!$F$2:$F$500="Выдана")*NOW())+((Брони!$F$2:$F$500="Возвращена")*Брони!$E$2:$E$500))&gt;=A309)*Брони!$A$2:$A$500)</f>
        <v/>
      </c>
      <c r="P309" s="19">
        <f>SUMPRODUCT((Брони!$B$2:$B$500=B309)*(Брони!$D$2:$D$500=N309)*(((Брони!$F$2:$F$500="Выдана")+(Брони!$F$2:$F$500="Возвращена"))))</f>
        <v/>
      </c>
      <c r="Q309" s="10" t="n"/>
    </row>
    <row r="310">
      <c r="A310" s="11" t="n"/>
      <c r="B310" s="10" t="n"/>
      <c r="C310" s="10" t="n"/>
      <c r="D310" s="14" t="n"/>
      <c r="E310" s="10" t="n"/>
      <c r="F310" s="20">
        <f>IF(OR(A310="",B310=""),"",IF(OR(NOT(ISNUMBER(A310)),ISERROR(N310+O310+P310)),"Проверьте даты",IF(AND(N310&gt;0,P310&gt;1),"Дубль",IF(AND(N310&gt;0,O310&gt;0),O310,"Вне аренды"))))</f>
        <v/>
      </c>
      <c r="G310" s="12">
        <f>IF(ISNUMBER(F310),IFERROR(INDEX(Брони!$C$2:$C$500,MATCH(F310,Брони!$A$2:$A$500,0)),""),"")</f>
        <v/>
      </c>
      <c r="H310" s="10" t="n"/>
      <c r="I310" s="18" t="n"/>
      <c r="J310" s="12">
        <f>IF(AND(ISNUMBER(F310),I310&lt;&gt;""),IFERROR(IF(AND(INDEX(Брони!$F$2:$F$500,MATCH(F310,Брони!$A$2:$A$500,0))="Возвращена",I310&gt;INDEX(Брони!$E$2:$E$500,MATCH(F310,Брони!$A$2:$A$500,0))),"Да",""),""),"")</f>
        <v/>
      </c>
      <c r="K310" s="10" t="n"/>
      <c r="L310" s="14" t="n"/>
      <c r="M310" s="15">
        <f>IF(OR(A310="",B310=""),"",IF(AND(ISNUMBER(F310),H310&lt;&gt;"Компания"),D310+L310,0))</f>
        <v/>
      </c>
      <c r="N310" s="21">
        <f>SUMPRODUCT(MAX((Брони!$B$2:$B$500=B310)*((Брони!$F$2:$F$500="Выдана")+(Брони!$F$2:$F$500="Возвращена"))*(Брони!$D$2:$D$500&lt;=A310)*Брони!$D$2:$D$500))</f>
        <v/>
      </c>
      <c r="O310" s="19">
        <f>SUMPRODUCT((Брони!$B$2:$B$500=B310)*(Брони!$D$2:$D$500=N310)*((((Брони!$F$2:$F$500="Выдана")*NOW())+((Брони!$F$2:$F$500="Возвращена")*Брони!$E$2:$E$500))&gt;=A310)*Брони!$A$2:$A$500)</f>
        <v/>
      </c>
      <c r="P310" s="19">
        <f>SUMPRODUCT((Брони!$B$2:$B$500=B310)*(Брони!$D$2:$D$500=N310)*(((Брони!$F$2:$F$500="Выдана")+(Брони!$F$2:$F$500="Возвращена"))))</f>
        <v/>
      </c>
      <c r="Q310" s="10" t="n"/>
    </row>
    <row r="311">
      <c r="A311" s="11" t="n"/>
      <c r="B311" s="10" t="n"/>
      <c r="C311" s="10" t="n"/>
      <c r="D311" s="14" t="n"/>
      <c r="E311" s="10" t="n"/>
      <c r="F311" s="20">
        <f>IF(OR(A311="",B311=""),"",IF(OR(NOT(ISNUMBER(A311)),ISERROR(N311+O311+P311)),"Проверьте даты",IF(AND(N311&gt;0,P311&gt;1),"Дубль",IF(AND(N311&gt;0,O311&gt;0),O311,"Вне аренды"))))</f>
        <v/>
      </c>
      <c r="G311" s="12">
        <f>IF(ISNUMBER(F311),IFERROR(INDEX(Брони!$C$2:$C$500,MATCH(F311,Брони!$A$2:$A$500,0)),""),"")</f>
        <v/>
      </c>
      <c r="H311" s="10" t="n"/>
      <c r="I311" s="18" t="n"/>
      <c r="J311" s="12">
        <f>IF(AND(ISNUMBER(F311),I311&lt;&gt;""),IFERROR(IF(AND(INDEX(Брони!$F$2:$F$500,MATCH(F311,Брони!$A$2:$A$500,0))="Возвращена",I311&gt;INDEX(Брони!$E$2:$E$500,MATCH(F311,Брони!$A$2:$A$500,0))),"Да",""),""),"")</f>
        <v/>
      </c>
      <c r="K311" s="10" t="n"/>
      <c r="L311" s="14" t="n"/>
      <c r="M311" s="15">
        <f>IF(OR(A311="",B311=""),"",IF(AND(ISNUMBER(F311),H311&lt;&gt;"Компания"),D311+L311,0))</f>
        <v/>
      </c>
      <c r="N311" s="21">
        <f>SUMPRODUCT(MAX((Брони!$B$2:$B$500=B311)*((Брони!$F$2:$F$500="Выдана")+(Брони!$F$2:$F$500="Возвращена"))*(Брони!$D$2:$D$500&lt;=A311)*Брони!$D$2:$D$500))</f>
        <v/>
      </c>
      <c r="O311" s="19">
        <f>SUMPRODUCT((Брони!$B$2:$B$500=B311)*(Брони!$D$2:$D$500=N311)*((((Брони!$F$2:$F$500="Выдана")*NOW())+((Брони!$F$2:$F$500="Возвращена")*Брони!$E$2:$E$500))&gt;=A311)*Брони!$A$2:$A$500)</f>
        <v/>
      </c>
      <c r="P311" s="19">
        <f>SUMPRODUCT((Брони!$B$2:$B$500=B311)*(Брони!$D$2:$D$500=N311)*(((Брони!$F$2:$F$500="Выдана")+(Брони!$F$2:$F$500="Возвращена"))))</f>
        <v/>
      </c>
      <c r="Q311" s="10" t="n"/>
    </row>
    <row r="312">
      <c r="A312" s="11" t="n"/>
      <c r="B312" s="10" t="n"/>
      <c r="C312" s="10" t="n"/>
      <c r="D312" s="14" t="n"/>
      <c r="E312" s="10" t="n"/>
      <c r="F312" s="20">
        <f>IF(OR(A312="",B312=""),"",IF(OR(NOT(ISNUMBER(A312)),ISERROR(N312+O312+P312)),"Проверьте даты",IF(AND(N312&gt;0,P312&gt;1),"Дубль",IF(AND(N312&gt;0,O312&gt;0),O312,"Вне аренды"))))</f>
        <v/>
      </c>
      <c r="G312" s="12">
        <f>IF(ISNUMBER(F312),IFERROR(INDEX(Брони!$C$2:$C$500,MATCH(F312,Брони!$A$2:$A$500,0)),""),"")</f>
        <v/>
      </c>
      <c r="H312" s="10" t="n"/>
      <c r="I312" s="18" t="n"/>
      <c r="J312" s="12">
        <f>IF(AND(ISNUMBER(F312),I312&lt;&gt;""),IFERROR(IF(AND(INDEX(Брони!$F$2:$F$500,MATCH(F312,Брони!$A$2:$A$500,0))="Возвращена",I312&gt;INDEX(Брони!$E$2:$E$500,MATCH(F312,Брони!$A$2:$A$500,0))),"Да",""),""),"")</f>
        <v/>
      </c>
      <c r="K312" s="10" t="n"/>
      <c r="L312" s="14" t="n"/>
      <c r="M312" s="15">
        <f>IF(OR(A312="",B312=""),"",IF(AND(ISNUMBER(F312),H312&lt;&gt;"Компания"),D312+L312,0))</f>
        <v/>
      </c>
      <c r="N312" s="21">
        <f>SUMPRODUCT(MAX((Брони!$B$2:$B$500=B312)*((Брони!$F$2:$F$500="Выдана")+(Брони!$F$2:$F$500="Возвращена"))*(Брони!$D$2:$D$500&lt;=A312)*Брони!$D$2:$D$500))</f>
        <v/>
      </c>
      <c r="O312" s="19">
        <f>SUMPRODUCT((Брони!$B$2:$B$500=B312)*(Брони!$D$2:$D$500=N312)*((((Брони!$F$2:$F$500="Выдана")*NOW())+((Брони!$F$2:$F$500="Возвращена")*Брони!$E$2:$E$500))&gt;=A312)*Брони!$A$2:$A$500)</f>
        <v/>
      </c>
      <c r="P312" s="19">
        <f>SUMPRODUCT((Брони!$B$2:$B$500=B312)*(Брони!$D$2:$D$500=N312)*(((Брони!$F$2:$F$500="Выдана")+(Брони!$F$2:$F$500="Возвращена"))))</f>
        <v/>
      </c>
      <c r="Q312" s="10" t="n"/>
    </row>
    <row r="313">
      <c r="A313" s="11" t="n"/>
      <c r="B313" s="10" t="n"/>
      <c r="C313" s="10" t="n"/>
      <c r="D313" s="14" t="n"/>
      <c r="E313" s="10" t="n"/>
      <c r="F313" s="20">
        <f>IF(OR(A313="",B313=""),"",IF(OR(NOT(ISNUMBER(A313)),ISERROR(N313+O313+P313)),"Проверьте даты",IF(AND(N313&gt;0,P313&gt;1),"Дубль",IF(AND(N313&gt;0,O313&gt;0),O313,"Вне аренды"))))</f>
        <v/>
      </c>
      <c r="G313" s="12">
        <f>IF(ISNUMBER(F313),IFERROR(INDEX(Брони!$C$2:$C$500,MATCH(F313,Брони!$A$2:$A$500,0)),""),"")</f>
        <v/>
      </c>
      <c r="H313" s="10" t="n"/>
      <c r="I313" s="18" t="n"/>
      <c r="J313" s="12">
        <f>IF(AND(ISNUMBER(F313),I313&lt;&gt;""),IFERROR(IF(AND(INDEX(Брони!$F$2:$F$500,MATCH(F313,Брони!$A$2:$A$500,0))="Возвращена",I313&gt;INDEX(Брони!$E$2:$E$500,MATCH(F313,Брони!$A$2:$A$500,0))),"Да",""),""),"")</f>
        <v/>
      </c>
      <c r="K313" s="10" t="n"/>
      <c r="L313" s="14" t="n"/>
      <c r="M313" s="15">
        <f>IF(OR(A313="",B313=""),"",IF(AND(ISNUMBER(F313),H313&lt;&gt;"Компания"),D313+L313,0))</f>
        <v/>
      </c>
      <c r="N313" s="21">
        <f>SUMPRODUCT(MAX((Брони!$B$2:$B$500=B313)*((Брони!$F$2:$F$500="Выдана")+(Брони!$F$2:$F$500="Возвращена"))*(Брони!$D$2:$D$500&lt;=A313)*Брони!$D$2:$D$500))</f>
        <v/>
      </c>
      <c r="O313" s="19">
        <f>SUMPRODUCT((Брони!$B$2:$B$500=B313)*(Брони!$D$2:$D$500=N313)*((((Брони!$F$2:$F$500="Выдана")*NOW())+((Брони!$F$2:$F$500="Возвращена")*Брони!$E$2:$E$500))&gt;=A313)*Брони!$A$2:$A$500)</f>
        <v/>
      </c>
      <c r="P313" s="19">
        <f>SUMPRODUCT((Брони!$B$2:$B$500=B313)*(Брони!$D$2:$D$500=N313)*(((Брони!$F$2:$F$500="Выдана")+(Брони!$F$2:$F$500="Возвращена"))))</f>
        <v/>
      </c>
      <c r="Q313" s="10" t="n"/>
    </row>
    <row r="314">
      <c r="A314" s="11" t="n"/>
      <c r="B314" s="10" t="n"/>
      <c r="C314" s="10" t="n"/>
      <c r="D314" s="14" t="n"/>
      <c r="E314" s="10" t="n"/>
      <c r="F314" s="20">
        <f>IF(OR(A314="",B314=""),"",IF(OR(NOT(ISNUMBER(A314)),ISERROR(N314+O314+P314)),"Проверьте даты",IF(AND(N314&gt;0,P314&gt;1),"Дубль",IF(AND(N314&gt;0,O314&gt;0),O314,"Вне аренды"))))</f>
        <v/>
      </c>
      <c r="G314" s="12">
        <f>IF(ISNUMBER(F314),IFERROR(INDEX(Брони!$C$2:$C$500,MATCH(F314,Брони!$A$2:$A$500,0)),""),"")</f>
        <v/>
      </c>
      <c r="H314" s="10" t="n"/>
      <c r="I314" s="18" t="n"/>
      <c r="J314" s="12">
        <f>IF(AND(ISNUMBER(F314),I314&lt;&gt;""),IFERROR(IF(AND(INDEX(Брони!$F$2:$F$500,MATCH(F314,Брони!$A$2:$A$500,0))="Возвращена",I314&gt;INDEX(Брони!$E$2:$E$500,MATCH(F314,Брони!$A$2:$A$500,0))),"Да",""),""),"")</f>
        <v/>
      </c>
      <c r="K314" s="10" t="n"/>
      <c r="L314" s="14" t="n"/>
      <c r="M314" s="15">
        <f>IF(OR(A314="",B314=""),"",IF(AND(ISNUMBER(F314),H314&lt;&gt;"Компания"),D314+L314,0))</f>
        <v/>
      </c>
      <c r="N314" s="21">
        <f>SUMPRODUCT(MAX((Брони!$B$2:$B$500=B314)*((Брони!$F$2:$F$500="Выдана")+(Брони!$F$2:$F$500="Возвращена"))*(Брони!$D$2:$D$500&lt;=A314)*Брони!$D$2:$D$500))</f>
        <v/>
      </c>
      <c r="O314" s="19">
        <f>SUMPRODUCT((Брони!$B$2:$B$500=B314)*(Брони!$D$2:$D$500=N314)*((((Брони!$F$2:$F$500="Выдана")*NOW())+((Брони!$F$2:$F$500="Возвращена")*Брони!$E$2:$E$500))&gt;=A314)*Брони!$A$2:$A$500)</f>
        <v/>
      </c>
      <c r="P314" s="19">
        <f>SUMPRODUCT((Брони!$B$2:$B$500=B314)*(Брони!$D$2:$D$500=N314)*(((Брони!$F$2:$F$500="Выдана")+(Брони!$F$2:$F$500="Возвращена"))))</f>
        <v/>
      </c>
      <c r="Q314" s="10" t="n"/>
    </row>
    <row r="315">
      <c r="A315" s="11" t="n"/>
      <c r="B315" s="10" t="n"/>
      <c r="C315" s="10" t="n"/>
      <c r="D315" s="14" t="n"/>
      <c r="E315" s="10" t="n"/>
      <c r="F315" s="20">
        <f>IF(OR(A315="",B315=""),"",IF(OR(NOT(ISNUMBER(A315)),ISERROR(N315+O315+P315)),"Проверьте даты",IF(AND(N315&gt;0,P315&gt;1),"Дубль",IF(AND(N315&gt;0,O315&gt;0),O315,"Вне аренды"))))</f>
        <v/>
      </c>
      <c r="G315" s="12">
        <f>IF(ISNUMBER(F315),IFERROR(INDEX(Брони!$C$2:$C$500,MATCH(F315,Брони!$A$2:$A$500,0)),""),"")</f>
        <v/>
      </c>
      <c r="H315" s="10" t="n"/>
      <c r="I315" s="18" t="n"/>
      <c r="J315" s="12">
        <f>IF(AND(ISNUMBER(F315),I315&lt;&gt;""),IFERROR(IF(AND(INDEX(Брони!$F$2:$F$500,MATCH(F315,Брони!$A$2:$A$500,0))="Возвращена",I315&gt;INDEX(Брони!$E$2:$E$500,MATCH(F315,Брони!$A$2:$A$500,0))),"Да",""),""),"")</f>
        <v/>
      </c>
      <c r="K315" s="10" t="n"/>
      <c r="L315" s="14" t="n"/>
      <c r="M315" s="15">
        <f>IF(OR(A315="",B315=""),"",IF(AND(ISNUMBER(F315),H315&lt;&gt;"Компания"),D315+L315,0))</f>
        <v/>
      </c>
      <c r="N315" s="21">
        <f>SUMPRODUCT(MAX((Брони!$B$2:$B$500=B315)*((Брони!$F$2:$F$500="Выдана")+(Брони!$F$2:$F$500="Возвращена"))*(Брони!$D$2:$D$500&lt;=A315)*Брони!$D$2:$D$500))</f>
        <v/>
      </c>
      <c r="O315" s="19">
        <f>SUMPRODUCT((Брони!$B$2:$B$500=B315)*(Брони!$D$2:$D$500=N315)*((((Брони!$F$2:$F$500="Выдана")*NOW())+((Брони!$F$2:$F$500="Возвращена")*Брони!$E$2:$E$500))&gt;=A315)*Брони!$A$2:$A$500)</f>
        <v/>
      </c>
      <c r="P315" s="19">
        <f>SUMPRODUCT((Брони!$B$2:$B$500=B315)*(Брони!$D$2:$D$500=N315)*(((Брони!$F$2:$F$500="Выдана")+(Брони!$F$2:$F$500="Возвращена"))))</f>
        <v/>
      </c>
      <c r="Q315" s="10" t="n"/>
    </row>
    <row r="316">
      <c r="A316" s="11" t="n"/>
      <c r="B316" s="10" t="n"/>
      <c r="C316" s="10" t="n"/>
      <c r="D316" s="14" t="n"/>
      <c r="E316" s="10" t="n"/>
      <c r="F316" s="20">
        <f>IF(OR(A316="",B316=""),"",IF(OR(NOT(ISNUMBER(A316)),ISERROR(N316+O316+P316)),"Проверьте даты",IF(AND(N316&gt;0,P316&gt;1),"Дубль",IF(AND(N316&gt;0,O316&gt;0),O316,"Вне аренды"))))</f>
        <v/>
      </c>
      <c r="G316" s="12">
        <f>IF(ISNUMBER(F316),IFERROR(INDEX(Брони!$C$2:$C$500,MATCH(F316,Брони!$A$2:$A$500,0)),""),"")</f>
        <v/>
      </c>
      <c r="H316" s="10" t="n"/>
      <c r="I316" s="18" t="n"/>
      <c r="J316" s="12">
        <f>IF(AND(ISNUMBER(F316),I316&lt;&gt;""),IFERROR(IF(AND(INDEX(Брони!$F$2:$F$500,MATCH(F316,Брони!$A$2:$A$500,0))="Возвращена",I316&gt;INDEX(Брони!$E$2:$E$500,MATCH(F316,Брони!$A$2:$A$500,0))),"Да",""),""),"")</f>
        <v/>
      </c>
      <c r="K316" s="10" t="n"/>
      <c r="L316" s="14" t="n"/>
      <c r="M316" s="15">
        <f>IF(OR(A316="",B316=""),"",IF(AND(ISNUMBER(F316),H316&lt;&gt;"Компания"),D316+L316,0))</f>
        <v/>
      </c>
      <c r="N316" s="21">
        <f>SUMPRODUCT(MAX((Брони!$B$2:$B$500=B316)*((Брони!$F$2:$F$500="Выдана")+(Брони!$F$2:$F$500="Возвращена"))*(Брони!$D$2:$D$500&lt;=A316)*Брони!$D$2:$D$500))</f>
        <v/>
      </c>
      <c r="O316" s="19">
        <f>SUMPRODUCT((Брони!$B$2:$B$500=B316)*(Брони!$D$2:$D$500=N316)*((((Брони!$F$2:$F$500="Выдана")*NOW())+((Брони!$F$2:$F$500="Возвращена")*Брони!$E$2:$E$500))&gt;=A316)*Брони!$A$2:$A$500)</f>
        <v/>
      </c>
      <c r="P316" s="19">
        <f>SUMPRODUCT((Брони!$B$2:$B$500=B316)*(Брони!$D$2:$D$500=N316)*(((Брони!$F$2:$F$500="Выдана")+(Брони!$F$2:$F$500="Возвращена"))))</f>
        <v/>
      </c>
      <c r="Q316" s="10" t="n"/>
    </row>
    <row r="317">
      <c r="A317" s="11" t="n"/>
      <c r="B317" s="10" t="n"/>
      <c r="C317" s="10" t="n"/>
      <c r="D317" s="14" t="n"/>
      <c r="E317" s="10" t="n"/>
      <c r="F317" s="20">
        <f>IF(OR(A317="",B317=""),"",IF(OR(NOT(ISNUMBER(A317)),ISERROR(N317+O317+P317)),"Проверьте даты",IF(AND(N317&gt;0,P317&gt;1),"Дубль",IF(AND(N317&gt;0,O317&gt;0),O317,"Вне аренды"))))</f>
        <v/>
      </c>
      <c r="G317" s="12">
        <f>IF(ISNUMBER(F317),IFERROR(INDEX(Брони!$C$2:$C$500,MATCH(F317,Брони!$A$2:$A$500,0)),""),"")</f>
        <v/>
      </c>
      <c r="H317" s="10" t="n"/>
      <c r="I317" s="18" t="n"/>
      <c r="J317" s="12">
        <f>IF(AND(ISNUMBER(F317),I317&lt;&gt;""),IFERROR(IF(AND(INDEX(Брони!$F$2:$F$500,MATCH(F317,Брони!$A$2:$A$500,0))="Возвращена",I317&gt;INDEX(Брони!$E$2:$E$500,MATCH(F317,Брони!$A$2:$A$500,0))),"Да",""),""),"")</f>
        <v/>
      </c>
      <c r="K317" s="10" t="n"/>
      <c r="L317" s="14" t="n"/>
      <c r="M317" s="15">
        <f>IF(OR(A317="",B317=""),"",IF(AND(ISNUMBER(F317),H317&lt;&gt;"Компания"),D317+L317,0))</f>
        <v/>
      </c>
      <c r="N317" s="21">
        <f>SUMPRODUCT(MAX((Брони!$B$2:$B$500=B317)*((Брони!$F$2:$F$500="Выдана")+(Брони!$F$2:$F$500="Возвращена"))*(Брони!$D$2:$D$500&lt;=A317)*Брони!$D$2:$D$500))</f>
        <v/>
      </c>
      <c r="O317" s="19">
        <f>SUMPRODUCT((Брони!$B$2:$B$500=B317)*(Брони!$D$2:$D$500=N317)*((((Брони!$F$2:$F$500="Выдана")*NOW())+((Брони!$F$2:$F$500="Возвращена")*Брони!$E$2:$E$500))&gt;=A317)*Брони!$A$2:$A$500)</f>
        <v/>
      </c>
      <c r="P317" s="19">
        <f>SUMPRODUCT((Брони!$B$2:$B$500=B317)*(Брони!$D$2:$D$500=N317)*(((Брони!$F$2:$F$500="Выдана")+(Брони!$F$2:$F$500="Возвращена"))))</f>
        <v/>
      </c>
      <c r="Q317" s="10" t="n"/>
    </row>
    <row r="318">
      <c r="A318" s="11" t="n"/>
      <c r="B318" s="10" t="n"/>
      <c r="C318" s="10" t="n"/>
      <c r="D318" s="14" t="n"/>
      <c r="E318" s="10" t="n"/>
      <c r="F318" s="20">
        <f>IF(OR(A318="",B318=""),"",IF(OR(NOT(ISNUMBER(A318)),ISERROR(N318+O318+P318)),"Проверьте даты",IF(AND(N318&gt;0,P318&gt;1),"Дубль",IF(AND(N318&gt;0,O318&gt;0),O318,"Вне аренды"))))</f>
        <v/>
      </c>
      <c r="G318" s="12">
        <f>IF(ISNUMBER(F318),IFERROR(INDEX(Брони!$C$2:$C$500,MATCH(F318,Брони!$A$2:$A$500,0)),""),"")</f>
        <v/>
      </c>
      <c r="H318" s="10" t="n"/>
      <c r="I318" s="18" t="n"/>
      <c r="J318" s="12">
        <f>IF(AND(ISNUMBER(F318),I318&lt;&gt;""),IFERROR(IF(AND(INDEX(Брони!$F$2:$F$500,MATCH(F318,Брони!$A$2:$A$500,0))="Возвращена",I318&gt;INDEX(Брони!$E$2:$E$500,MATCH(F318,Брони!$A$2:$A$500,0))),"Да",""),""),"")</f>
        <v/>
      </c>
      <c r="K318" s="10" t="n"/>
      <c r="L318" s="14" t="n"/>
      <c r="M318" s="15">
        <f>IF(OR(A318="",B318=""),"",IF(AND(ISNUMBER(F318),H318&lt;&gt;"Компания"),D318+L318,0))</f>
        <v/>
      </c>
      <c r="N318" s="21">
        <f>SUMPRODUCT(MAX((Брони!$B$2:$B$500=B318)*((Брони!$F$2:$F$500="Выдана")+(Брони!$F$2:$F$500="Возвращена"))*(Брони!$D$2:$D$500&lt;=A318)*Брони!$D$2:$D$500))</f>
        <v/>
      </c>
      <c r="O318" s="19">
        <f>SUMPRODUCT((Брони!$B$2:$B$500=B318)*(Брони!$D$2:$D$500=N318)*((((Брони!$F$2:$F$500="Выдана")*NOW())+((Брони!$F$2:$F$500="Возвращена")*Брони!$E$2:$E$500))&gt;=A318)*Брони!$A$2:$A$500)</f>
        <v/>
      </c>
      <c r="P318" s="19">
        <f>SUMPRODUCT((Брони!$B$2:$B$500=B318)*(Брони!$D$2:$D$500=N318)*(((Брони!$F$2:$F$500="Выдана")+(Брони!$F$2:$F$500="Возвращена"))))</f>
        <v/>
      </c>
      <c r="Q318" s="10" t="n"/>
    </row>
    <row r="319">
      <c r="A319" s="11" t="n"/>
      <c r="B319" s="10" t="n"/>
      <c r="C319" s="10" t="n"/>
      <c r="D319" s="14" t="n"/>
      <c r="E319" s="10" t="n"/>
      <c r="F319" s="20">
        <f>IF(OR(A319="",B319=""),"",IF(OR(NOT(ISNUMBER(A319)),ISERROR(N319+O319+P319)),"Проверьте даты",IF(AND(N319&gt;0,P319&gt;1),"Дубль",IF(AND(N319&gt;0,O319&gt;0),O319,"Вне аренды"))))</f>
        <v/>
      </c>
      <c r="G319" s="12">
        <f>IF(ISNUMBER(F319),IFERROR(INDEX(Брони!$C$2:$C$500,MATCH(F319,Брони!$A$2:$A$500,0)),""),"")</f>
        <v/>
      </c>
      <c r="H319" s="10" t="n"/>
      <c r="I319" s="18" t="n"/>
      <c r="J319" s="12">
        <f>IF(AND(ISNUMBER(F319),I319&lt;&gt;""),IFERROR(IF(AND(INDEX(Брони!$F$2:$F$500,MATCH(F319,Брони!$A$2:$A$500,0))="Возвращена",I319&gt;INDEX(Брони!$E$2:$E$500,MATCH(F319,Брони!$A$2:$A$500,0))),"Да",""),""),"")</f>
        <v/>
      </c>
      <c r="K319" s="10" t="n"/>
      <c r="L319" s="14" t="n"/>
      <c r="M319" s="15">
        <f>IF(OR(A319="",B319=""),"",IF(AND(ISNUMBER(F319),H319&lt;&gt;"Компания"),D319+L319,0))</f>
        <v/>
      </c>
      <c r="N319" s="21">
        <f>SUMPRODUCT(MAX((Брони!$B$2:$B$500=B319)*((Брони!$F$2:$F$500="Выдана")+(Брони!$F$2:$F$500="Возвращена"))*(Брони!$D$2:$D$500&lt;=A319)*Брони!$D$2:$D$500))</f>
        <v/>
      </c>
      <c r="O319" s="19">
        <f>SUMPRODUCT((Брони!$B$2:$B$500=B319)*(Брони!$D$2:$D$500=N319)*((((Брони!$F$2:$F$500="Выдана")*NOW())+((Брони!$F$2:$F$500="Возвращена")*Брони!$E$2:$E$500))&gt;=A319)*Брони!$A$2:$A$500)</f>
        <v/>
      </c>
      <c r="P319" s="19">
        <f>SUMPRODUCT((Брони!$B$2:$B$500=B319)*(Брони!$D$2:$D$500=N319)*(((Брони!$F$2:$F$500="Выдана")+(Брони!$F$2:$F$500="Возвращена"))))</f>
        <v/>
      </c>
      <c r="Q319" s="10" t="n"/>
    </row>
    <row r="320">
      <c r="A320" s="11" t="n"/>
      <c r="B320" s="10" t="n"/>
      <c r="C320" s="10" t="n"/>
      <c r="D320" s="14" t="n"/>
      <c r="E320" s="10" t="n"/>
      <c r="F320" s="20">
        <f>IF(OR(A320="",B320=""),"",IF(OR(NOT(ISNUMBER(A320)),ISERROR(N320+O320+P320)),"Проверьте даты",IF(AND(N320&gt;0,P320&gt;1),"Дубль",IF(AND(N320&gt;0,O320&gt;0),O320,"Вне аренды"))))</f>
        <v/>
      </c>
      <c r="G320" s="12">
        <f>IF(ISNUMBER(F320),IFERROR(INDEX(Брони!$C$2:$C$500,MATCH(F320,Брони!$A$2:$A$500,0)),""),"")</f>
        <v/>
      </c>
      <c r="H320" s="10" t="n"/>
      <c r="I320" s="18" t="n"/>
      <c r="J320" s="12">
        <f>IF(AND(ISNUMBER(F320),I320&lt;&gt;""),IFERROR(IF(AND(INDEX(Брони!$F$2:$F$500,MATCH(F320,Брони!$A$2:$A$500,0))="Возвращена",I320&gt;INDEX(Брони!$E$2:$E$500,MATCH(F320,Брони!$A$2:$A$500,0))),"Да",""),""),"")</f>
        <v/>
      </c>
      <c r="K320" s="10" t="n"/>
      <c r="L320" s="14" t="n"/>
      <c r="M320" s="15">
        <f>IF(OR(A320="",B320=""),"",IF(AND(ISNUMBER(F320),H320&lt;&gt;"Компания"),D320+L320,0))</f>
        <v/>
      </c>
      <c r="N320" s="21">
        <f>SUMPRODUCT(MAX((Брони!$B$2:$B$500=B320)*((Брони!$F$2:$F$500="Выдана")+(Брони!$F$2:$F$500="Возвращена"))*(Брони!$D$2:$D$500&lt;=A320)*Брони!$D$2:$D$500))</f>
        <v/>
      </c>
      <c r="O320" s="19">
        <f>SUMPRODUCT((Брони!$B$2:$B$500=B320)*(Брони!$D$2:$D$500=N320)*((((Брони!$F$2:$F$500="Выдана")*NOW())+((Брони!$F$2:$F$500="Возвращена")*Брони!$E$2:$E$500))&gt;=A320)*Брони!$A$2:$A$500)</f>
        <v/>
      </c>
      <c r="P320" s="19">
        <f>SUMPRODUCT((Брони!$B$2:$B$500=B320)*(Брони!$D$2:$D$500=N320)*(((Брони!$F$2:$F$500="Выдана")+(Брони!$F$2:$F$500="Возвращена"))))</f>
        <v/>
      </c>
      <c r="Q320" s="10" t="n"/>
    </row>
    <row r="321">
      <c r="A321" s="11" t="n"/>
      <c r="B321" s="10" t="n"/>
      <c r="C321" s="10" t="n"/>
      <c r="D321" s="14" t="n"/>
      <c r="E321" s="10" t="n"/>
      <c r="F321" s="20">
        <f>IF(OR(A321="",B321=""),"",IF(OR(NOT(ISNUMBER(A321)),ISERROR(N321+O321+P321)),"Проверьте даты",IF(AND(N321&gt;0,P321&gt;1),"Дубль",IF(AND(N321&gt;0,O321&gt;0),O321,"Вне аренды"))))</f>
        <v/>
      </c>
      <c r="G321" s="12">
        <f>IF(ISNUMBER(F321),IFERROR(INDEX(Брони!$C$2:$C$500,MATCH(F321,Брони!$A$2:$A$500,0)),""),"")</f>
        <v/>
      </c>
      <c r="H321" s="10" t="n"/>
      <c r="I321" s="18" t="n"/>
      <c r="J321" s="12">
        <f>IF(AND(ISNUMBER(F321),I321&lt;&gt;""),IFERROR(IF(AND(INDEX(Брони!$F$2:$F$500,MATCH(F321,Брони!$A$2:$A$500,0))="Возвращена",I321&gt;INDEX(Брони!$E$2:$E$500,MATCH(F321,Брони!$A$2:$A$500,0))),"Да",""),""),"")</f>
        <v/>
      </c>
      <c r="K321" s="10" t="n"/>
      <c r="L321" s="14" t="n"/>
      <c r="M321" s="15">
        <f>IF(OR(A321="",B321=""),"",IF(AND(ISNUMBER(F321),H321&lt;&gt;"Компания"),D321+L321,0))</f>
        <v/>
      </c>
      <c r="N321" s="21">
        <f>SUMPRODUCT(MAX((Брони!$B$2:$B$500=B321)*((Брони!$F$2:$F$500="Выдана")+(Брони!$F$2:$F$500="Возвращена"))*(Брони!$D$2:$D$500&lt;=A321)*Брони!$D$2:$D$500))</f>
        <v/>
      </c>
      <c r="O321" s="19">
        <f>SUMPRODUCT((Брони!$B$2:$B$500=B321)*(Брони!$D$2:$D$500=N321)*((((Брони!$F$2:$F$500="Выдана")*NOW())+((Брони!$F$2:$F$500="Возвращена")*Брони!$E$2:$E$500))&gt;=A321)*Брони!$A$2:$A$500)</f>
        <v/>
      </c>
      <c r="P321" s="19">
        <f>SUMPRODUCT((Брони!$B$2:$B$500=B321)*(Брони!$D$2:$D$500=N321)*(((Брони!$F$2:$F$500="Выдана")+(Брони!$F$2:$F$500="Возвращена"))))</f>
        <v/>
      </c>
      <c r="Q321" s="10" t="n"/>
    </row>
    <row r="322">
      <c r="A322" s="11" t="n"/>
      <c r="B322" s="10" t="n"/>
      <c r="C322" s="10" t="n"/>
      <c r="D322" s="14" t="n"/>
      <c r="E322" s="10" t="n"/>
      <c r="F322" s="20">
        <f>IF(OR(A322="",B322=""),"",IF(OR(NOT(ISNUMBER(A322)),ISERROR(N322+O322+P322)),"Проверьте даты",IF(AND(N322&gt;0,P322&gt;1),"Дубль",IF(AND(N322&gt;0,O322&gt;0),O322,"Вне аренды"))))</f>
        <v/>
      </c>
      <c r="G322" s="12">
        <f>IF(ISNUMBER(F322),IFERROR(INDEX(Брони!$C$2:$C$500,MATCH(F322,Брони!$A$2:$A$500,0)),""),"")</f>
        <v/>
      </c>
      <c r="H322" s="10" t="n"/>
      <c r="I322" s="18" t="n"/>
      <c r="J322" s="12">
        <f>IF(AND(ISNUMBER(F322),I322&lt;&gt;""),IFERROR(IF(AND(INDEX(Брони!$F$2:$F$500,MATCH(F322,Брони!$A$2:$A$500,0))="Возвращена",I322&gt;INDEX(Брони!$E$2:$E$500,MATCH(F322,Брони!$A$2:$A$500,0))),"Да",""),""),"")</f>
        <v/>
      </c>
      <c r="K322" s="10" t="n"/>
      <c r="L322" s="14" t="n"/>
      <c r="M322" s="15">
        <f>IF(OR(A322="",B322=""),"",IF(AND(ISNUMBER(F322),H322&lt;&gt;"Компания"),D322+L322,0))</f>
        <v/>
      </c>
      <c r="N322" s="21">
        <f>SUMPRODUCT(MAX((Брони!$B$2:$B$500=B322)*((Брони!$F$2:$F$500="Выдана")+(Брони!$F$2:$F$500="Возвращена"))*(Брони!$D$2:$D$500&lt;=A322)*Брони!$D$2:$D$500))</f>
        <v/>
      </c>
      <c r="O322" s="19">
        <f>SUMPRODUCT((Брони!$B$2:$B$500=B322)*(Брони!$D$2:$D$500=N322)*((((Брони!$F$2:$F$500="Выдана")*NOW())+((Брони!$F$2:$F$500="Возвращена")*Брони!$E$2:$E$500))&gt;=A322)*Брони!$A$2:$A$500)</f>
        <v/>
      </c>
      <c r="P322" s="19">
        <f>SUMPRODUCT((Брони!$B$2:$B$500=B322)*(Брони!$D$2:$D$500=N322)*(((Брони!$F$2:$F$500="Выдана")+(Брони!$F$2:$F$500="Возвращена"))))</f>
        <v/>
      </c>
      <c r="Q322" s="10" t="n"/>
    </row>
    <row r="323">
      <c r="A323" s="11" t="n"/>
      <c r="B323" s="10" t="n"/>
      <c r="C323" s="10" t="n"/>
      <c r="D323" s="14" t="n"/>
      <c r="E323" s="10" t="n"/>
      <c r="F323" s="20">
        <f>IF(OR(A323="",B323=""),"",IF(OR(NOT(ISNUMBER(A323)),ISERROR(N323+O323+P323)),"Проверьте даты",IF(AND(N323&gt;0,P323&gt;1),"Дубль",IF(AND(N323&gt;0,O323&gt;0),O323,"Вне аренды"))))</f>
        <v/>
      </c>
      <c r="G323" s="12">
        <f>IF(ISNUMBER(F323),IFERROR(INDEX(Брони!$C$2:$C$500,MATCH(F323,Брони!$A$2:$A$500,0)),""),"")</f>
        <v/>
      </c>
      <c r="H323" s="10" t="n"/>
      <c r="I323" s="18" t="n"/>
      <c r="J323" s="12">
        <f>IF(AND(ISNUMBER(F323),I323&lt;&gt;""),IFERROR(IF(AND(INDEX(Брони!$F$2:$F$500,MATCH(F323,Брони!$A$2:$A$500,0))="Возвращена",I323&gt;INDEX(Брони!$E$2:$E$500,MATCH(F323,Брони!$A$2:$A$500,0))),"Да",""),""),"")</f>
        <v/>
      </c>
      <c r="K323" s="10" t="n"/>
      <c r="L323" s="14" t="n"/>
      <c r="M323" s="15">
        <f>IF(OR(A323="",B323=""),"",IF(AND(ISNUMBER(F323),H323&lt;&gt;"Компания"),D323+L323,0))</f>
        <v/>
      </c>
      <c r="N323" s="21">
        <f>SUMPRODUCT(MAX((Брони!$B$2:$B$500=B323)*((Брони!$F$2:$F$500="Выдана")+(Брони!$F$2:$F$500="Возвращена"))*(Брони!$D$2:$D$500&lt;=A323)*Брони!$D$2:$D$500))</f>
        <v/>
      </c>
      <c r="O323" s="19">
        <f>SUMPRODUCT((Брони!$B$2:$B$500=B323)*(Брони!$D$2:$D$500=N323)*((((Брони!$F$2:$F$500="Выдана")*NOW())+((Брони!$F$2:$F$500="Возвращена")*Брони!$E$2:$E$500))&gt;=A323)*Брони!$A$2:$A$500)</f>
        <v/>
      </c>
      <c r="P323" s="19">
        <f>SUMPRODUCT((Брони!$B$2:$B$500=B323)*(Брони!$D$2:$D$500=N323)*(((Брони!$F$2:$F$500="Выдана")+(Брони!$F$2:$F$500="Возвращена"))))</f>
        <v/>
      </c>
      <c r="Q323" s="10" t="n"/>
    </row>
    <row r="324">
      <c r="A324" s="11" t="n"/>
      <c r="B324" s="10" t="n"/>
      <c r="C324" s="10" t="n"/>
      <c r="D324" s="14" t="n"/>
      <c r="E324" s="10" t="n"/>
      <c r="F324" s="20">
        <f>IF(OR(A324="",B324=""),"",IF(OR(NOT(ISNUMBER(A324)),ISERROR(N324+O324+P324)),"Проверьте даты",IF(AND(N324&gt;0,P324&gt;1),"Дубль",IF(AND(N324&gt;0,O324&gt;0),O324,"Вне аренды"))))</f>
        <v/>
      </c>
      <c r="G324" s="12">
        <f>IF(ISNUMBER(F324),IFERROR(INDEX(Брони!$C$2:$C$500,MATCH(F324,Брони!$A$2:$A$500,0)),""),"")</f>
        <v/>
      </c>
      <c r="H324" s="10" t="n"/>
      <c r="I324" s="18" t="n"/>
      <c r="J324" s="12">
        <f>IF(AND(ISNUMBER(F324),I324&lt;&gt;""),IFERROR(IF(AND(INDEX(Брони!$F$2:$F$500,MATCH(F324,Брони!$A$2:$A$500,0))="Возвращена",I324&gt;INDEX(Брони!$E$2:$E$500,MATCH(F324,Брони!$A$2:$A$500,0))),"Да",""),""),"")</f>
        <v/>
      </c>
      <c r="K324" s="10" t="n"/>
      <c r="L324" s="14" t="n"/>
      <c r="M324" s="15">
        <f>IF(OR(A324="",B324=""),"",IF(AND(ISNUMBER(F324),H324&lt;&gt;"Компания"),D324+L324,0))</f>
        <v/>
      </c>
      <c r="N324" s="21">
        <f>SUMPRODUCT(MAX((Брони!$B$2:$B$500=B324)*((Брони!$F$2:$F$500="Выдана")+(Брони!$F$2:$F$500="Возвращена"))*(Брони!$D$2:$D$500&lt;=A324)*Брони!$D$2:$D$500))</f>
        <v/>
      </c>
      <c r="O324" s="19">
        <f>SUMPRODUCT((Брони!$B$2:$B$500=B324)*(Брони!$D$2:$D$500=N324)*((((Брони!$F$2:$F$500="Выдана")*NOW())+((Брони!$F$2:$F$500="Возвращена")*Брони!$E$2:$E$500))&gt;=A324)*Брони!$A$2:$A$500)</f>
        <v/>
      </c>
      <c r="P324" s="19">
        <f>SUMPRODUCT((Брони!$B$2:$B$500=B324)*(Брони!$D$2:$D$500=N324)*(((Брони!$F$2:$F$500="Выдана")+(Брони!$F$2:$F$500="Возвращена"))))</f>
        <v/>
      </c>
      <c r="Q324" s="10" t="n"/>
    </row>
    <row r="325">
      <c r="A325" s="11" t="n"/>
      <c r="B325" s="10" t="n"/>
      <c r="C325" s="10" t="n"/>
      <c r="D325" s="14" t="n"/>
      <c r="E325" s="10" t="n"/>
      <c r="F325" s="20">
        <f>IF(OR(A325="",B325=""),"",IF(OR(NOT(ISNUMBER(A325)),ISERROR(N325+O325+P325)),"Проверьте даты",IF(AND(N325&gt;0,P325&gt;1),"Дубль",IF(AND(N325&gt;0,O325&gt;0),O325,"Вне аренды"))))</f>
        <v/>
      </c>
      <c r="G325" s="12">
        <f>IF(ISNUMBER(F325),IFERROR(INDEX(Брони!$C$2:$C$500,MATCH(F325,Брони!$A$2:$A$500,0)),""),"")</f>
        <v/>
      </c>
      <c r="H325" s="10" t="n"/>
      <c r="I325" s="18" t="n"/>
      <c r="J325" s="12">
        <f>IF(AND(ISNUMBER(F325),I325&lt;&gt;""),IFERROR(IF(AND(INDEX(Брони!$F$2:$F$500,MATCH(F325,Брони!$A$2:$A$500,0))="Возвращена",I325&gt;INDEX(Брони!$E$2:$E$500,MATCH(F325,Брони!$A$2:$A$500,0))),"Да",""),""),"")</f>
        <v/>
      </c>
      <c r="K325" s="10" t="n"/>
      <c r="L325" s="14" t="n"/>
      <c r="M325" s="15">
        <f>IF(OR(A325="",B325=""),"",IF(AND(ISNUMBER(F325),H325&lt;&gt;"Компания"),D325+L325,0))</f>
        <v/>
      </c>
      <c r="N325" s="21">
        <f>SUMPRODUCT(MAX((Брони!$B$2:$B$500=B325)*((Брони!$F$2:$F$500="Выдана")+(Брони!$F$2:$F$500="Возвращена"))*(Брони!$D$2:$D$500&lt;=A325)*Брони!$D$2:$D$500))</f>
        <v/>
      </c>
      <c r="O325" s="19">
        <f>SUMPRODUCT((Брони!$B$2:$B$500=B325)*(Брони!$D$2:$D$500=N325)*((((Брони!$F$2:$F$500="Выдана")*NOW())+((Брони!$F$2:$F$500="Возвращена")*Брони!$E$2:$E$500))&gt;=A325)*Брони!$A$2:$A$500)</f>
        <v/>
      </c>
      <c r="P325" s="19">
        <f>SUMPRODUCT((Брони!$B$2:$B$500=B325)*(Брони!$D$2:$D$500=N325)*(((Брони!$F$2:$F$500="Выдана")+(Брони!$F$2:$F$500="Возвращена"))))</f>
        <v/>
      </c>
      <c r="Q325" s="10" t="n"/>
    </row>
    <row r="326">
      <c r="A326" s="11" t="n"/>
      <c r="B326" s="10" t="n"/>
      <c r="C326" s="10" t="n"/>
      <c r="D326" s="14" t="n"/>
      <c r="E326" s="10" t="n"/>
      <c r="F326" s="20">
        <f>IF(OR(A326="",B326=""),"",IF(OR(NOT(ISNUMBER(A326)),ISERROR(N326+O326+P326)),"Проверьте даты",IF(AND(N326&gt;0,P326&gt;1),"Дубль",IF(AND(N326&gt;0,O326&gt;0),O326,"Вне аренды"))))</f>
        <v/>
      </c>
      <c r="G326" s="12">
        <f>IF(ISNUMBER(F326),IFERROR(INDEX(Брони!$C$2:$C$500,MATCH(F326,Брони!$A$2:$A$500,0)),""),"")</f>
        <v/>
      </c>
      <c r="H326" s="10" t="n"/>
      <c r="I326" s="18" t="n"/>
      <c r="J326" s="12">
        <f>IF(AND(ISNUMBER(F326),I326&lt;&gt;""),IFERROR(IF(AND(INDEX(Брони!$F$2:$F$500,MATCH(F326,Брони!$A$2:$A$500,0))="Возвращена",I326&gt;INDEX(Брони!$E$2:$E$500,MATCH(F326,Брони!$A$2:$A$500,0))),"Да",""),""),"")</f>
        <v/>
      </c>
      <c r="K326" s="10" t="n"/>
      <c r="L326" s="14" t="n"/>
      <c r="M326" s="15">
        <f>IF(OR(A326="",B326=""),"",IF(AND(ISNUMBER(F326),H326&lt;&gt;"Компания"),D326+L326,0))</f>
        <v/>
      </c>
      <c r="N326" s="21">
        <f>SUMPRODUCT(MAX((Брони!$B$2:$B$500=B326)*((Брони!$F$2:$F$500="Выдана")+(Брони!$F$2:$F$500="Возвращена"))*(Брони!$D$2:$D$500&lt;=A326)*Брони!$D$2:$D$500))</f>
        <v/>
      </c>
      <c r="O326" s="19">
        <f>SUMPRODUCT((Брони!$B$2:$B$500=B326)*(Брони!$D$2:$D$500=N326)*((((Брони!$F$2:$F$500="Выдана")*NOW())+((Брони!$F$2:$F$500="Возвращена")*Брони!$E$2:$E$500))&gt;=A326)*Брони!$A$2:$A$500)</f>
        <v/>
      </c>
      <c r="P326" s="19">
        <f>SUMPRODUCT((Брони!$B$2:$B$500=B326)*(Брони!$D$2:$D$500=N326)*(((Брони!$F$2:$F$500="Выдана")+(Брони!$F$2:$F$500="Возвращена"))))</f>
        <v/>
      </c>
      <c r="Q326" s="10" t="n"/>
    </row>
    <row r="327">
      <c r="A327" s="11" t="n"/>
      <c r="B327" s="10" t="n"/>
      <c r="C327" s="10" t="n"/>
      <c r="D327" s="14" t="n"/>
      <c r="E327" s="10" t="n"/>
      <c r="F327" s="20">
        <f>IF(OR(A327="",B327=""),"",IF(OR(NOT(ISNUMBER(A327)),ISERROR(N327+O327+P327)),"Проверьте даты",IF(AND(N327&gt;0,P327&gt;1),"Дубль",IF(AND(N327&gt;0,O327&gt;0),O327,"Вне аренды"))))</f>
        <v/>
      </c>
      <c r="G327" s="12">
        <f>IF(ISNUMBER(F327),IFERROR(INDEX(Брони!$C$2:$C$500,MATCH(F327,Брони!$A$2:$A$500,0)),""),"")</f>
        <v/>
      </c>
      <c r="H327" s="10" t="n"/>
      <c r="I327" s="18" t="n"/>
      <c r="J327" s="12">
        <f>IF(AND(ISNUMBER(F327),I327&lt;&gt;""),IFERROR(IF(AND(INDEX(Брони!$F$2:$F$500,MATCH(F327,Брони!$A$2:$A$500,0))="Возвращена",I327&gt;INDEX(Брони!$E$2:$E$500,MATCH(F327,Брони!$A$2:$A$500,0))),"Да",""),""),"")</f>
        <v/>
      </c>
      <c r="K327" s="10" t="n"/>
      <c r="L327" s="14" t="n"/>
      <c r="M327" s="15">
        <f>IF(OR(A327="",B327=""),"",IF(AND(ISNUMBER(F327),H327&lt;&gt;"Компания"),D327+L327,0))</f>
        <v/>
      </c>
      <c r="N327" s="21">
        <f>SUMPRODUCT(MAX((Брони!$B$2:$B$500=B327)*((Брони!$F$2:$F$500="Выдана")+(Брони!$F$2:$F$500="Возвращена"))*(Брони!$D$2:$D$500&lt;=A327)*Брони!$D$2:$D$500))</f>
        <v/>
      </c>
      <c r="O327" s="19">
        <f>SUMPRODUCT((Брони!$B$2:$B$500=B327)*(Брони!$D$2:$D$500=N327)*((((Брони!$F$2:$F$500="Выдана")*NOW())+((Брони!$F$2:$F$500="Возвращена")*Брони!$E$2:$E$500))&gt;=A327)*Брони!$A$2:$A$500)</f>
        <v/>
      </c>
      <c r="P327" s="19">
        <f>SUMPRODUCT((Брони!$B$2:$B$500=B327)*(Брони!$D$2:$D$500=N327)*(((Брони!$F$2:$F$500="Выдана")+(Брони!$F$2:$F$500="Возвращена"))))</f>
        <v/>
      </c>
      <c r="Q327" s="10" t="n"/>
    </row>
    <row r="328">
      <c r="A328" s="11" t="n"/>
      <c r="B328" s="10" t="n"/>
      <c r="C328" s="10" t="n"/>
      <c r="D328" s="14" t="n"/>
      <c r="E328" s="10" t="n"/>
      <c r="F328" s="20">
        <f>IF(OR(A328="",B328=""),"",IF(OR(NOT(ISNUMBER(A328)),ISERROR(N328+O328+P328)),"Проверьте даты",IF(AND(N328&gt;0,P328&gt;1),"Дубль",IF(AND(N328&gt;0,O328&gt;0),O328,"Вне аренды"))))</f>
        <v/>
      </c>
      <c r="G328" s="12">
        <f>IF(ISNUMBER(F328),IFERROR(INDEX(Брони!$C$2:$C$500,MATCH(F328,Брони!$A$2:$A$500,0)),""),"")</f>
        <v/>
      </c>
      <c r="H328" s="10" t="n"/>
      <c r="I328" s="18" t="n"/>
      <c r="J328" s="12">
        <f>IF(AND(ISNUMBER(F328),I328&lt;&gt;""),IFERROR(IF(AND(INDEX(Брони!$F$2:$F$500,MATCH(F328,Брони!$A$2:$A$500,0))="Возвращена",I328&gt;INDEX(Брони!$E$2:$E$500,MATCH(F328,Брони!$A$2:$A$500,0))),"Да",""),""),"")</f>
        <v/>
      </c>
      <c r="K328" s="10" t="n"/>
      <c r="L328" s="14" t="n"/>
      <c r="M328" s="15">
        <f>IF(OR(A328="",B328=""),"",IF(AND(ISNUMBER(F328),H328&lt;&gt;"Компания"),D328+L328,0))</f>
        <v/>
      </c>
      <c r="N328" s="21">
        <f>SUMPRODUCT(MAX((Брони!$B$2:$B$500=B328)*((Брони!$F$2:$F$500="Выдана")+(Брони!$F$2:$F$500="Возвращена"))*(Брони!$D$2:$D$500&lt;=A328)*Брони!$D$2:$D$500))</f>
        <v/>
      </c>
      <c r="O328" s="19">
        <f>SUMPRODUCT((Брони!$B$2:$B$500=B328)*(Брони!$D$2:$D$500=N328)*((((Брони!$F$2:$F$500="Выдана")*NOW())+((Брони!$F$2:$F$500="Возвращена")*Брони!$E$2:$E$500))&gt;=A328)*Брони!$A$2:$A$500)</f>
        <v/>
      </c>
      <c r="P328" s="19">
        <f>SUMPRODUCT((Брони!$B$2:$B$500=B328)*(Брони!$D$2:$D$500=N328)*(((Брони!$F$2:$F$500="Выдана")+(Брони!$F$2:$F$500="Возвращена"))))</f>
        <v/>
      </c>
      <c r="Q328" s="10" t="n"/>
    </row>
    <row r="329">
      <c r="A329" s="11" t="n"/>
      <c r="B329" s="10" t="n"/>
      <c r="C329" s="10" t="n"/>
      <c r="D329" s="14" t="n"/>
      <c r="E329" s="10" t="n"/>
      <c r="F329" s="20">
        <f>IF(OR(A329="",B329=""),"",IF(OR(NOT(ISNUMBER(A329)),ISERROR(N329+O329+P329)),"Проверьте даты",IF(AND(N329&gt;0,P329&gt;1),"Дубль",IF(AND(N329&gt;0,O329&gt;0),O329,"Вне аренды"))))</f>
        <v/>
      </c>
      <c r="G329" s="12">
        <f>IF(ISNUMBER(F329),IFERROR(INDEX(Брони!$C$2:$C$500,MATCH(F329,Брони!$A$2:$A$500,0)),""),"")</f>
        <v/>
      </c>
      <c r="H329" s="10" t="n"/>
      <c r="I329" s="18" t="n"/>
      <c r="J329" s="12">
        <f>IF(AND(ISNUMBER(F329),I329&lt;&gt;""),IFERROR(IF(AND(INDEX(Брони!$F$2:$F$500,MATCH(F329,Брони!$A$2:$A$500,0))="Возвращена",I329&gt;INDEX(Брони!$E$2:$E$500,MATCH(F329,Брони!$A$2:$A$500,0))),"Да",""),""),"")</f>
        <v/>
      </c>
      <c r="K329" s="10" t="n"/>
      <c r="L329" s="14" t="n"/>
      <c r="M329" s="15">
        <f>IF(OR(A329="",B329=""),"",IF(AND(ISNUMBER(F329),H329&lt;&gt;"Компания"),D329+L329,0))</f>
        <v/>
      </c>
      <c r="N329" s="21">
        <f>SUMPRODUCT(MAX((Брони!$B$2:$B$500=B329)*((Брони!$F$2:$F$500="Выдана")+(Брони!$F$2:$F$500="Возвращена"))*(Брони!$D$2:$D$500&lt;=A329)*Брони!$D$2:$D$500))</f>
        <v/>
      </c>
      <c r="O329" s="19">
        <f>SUMPRODUCT((Брони!$B$2:$B$500=B329)*(Брони!$D$2:$D$500=N329)*((((Брони!$F$2:$F$500="Выдана")*NOW())+((Брони!$F$2:$F$500="Возвращена")*Брони!$E$2:$E$500))&gt;=A329)*Брони!$A$2:$A$500)</f>
        <v/>
      </c>
      <c r="P329" s="19">
        <f>SUMPRODUCT((Брони!$B$2:$B$500=B329)*(Брони!$D$2:$D$500=N329)*(((Брони!$F$2:$F$500="Выдана")+(Брони!$F$2:$F$500="Возвращена"))))</f>
        <v/>
      </c>
      <c r="Q329" s="10" t="n"/>
    </row>
    <row r="330">
      <c r="A330" s="11" t="n"/>
      <c r="B330" s="10" t="n"/>
      <c r="C330" s="10" t="n"/>
      <c r="D330" s="14" t="n"/>
      <c r="E330" s="10" t="n"/>
      <c r="F330" s="20">
        <f>IF(OR(A330="",B330=""),"",IF(OR(NOT(ISNUMBER(A330)),ISERROR(N330+O330+P330)),"Проверьте даты",IF(AND(N330&gt;0,P330&gt;1),"Дубль",IF(AND(N330&gt;0,O330&gt;0),O330,"Вне аренды"))))</f>
        <v/>
      </c>
      <c r="G330" s="12">
        <f>IF(ISNUMBER(F330),IFERROR(INDEX(Брони!$C$2:$C$500,MATCH(F330,Брони!$A$2:$A$500,0)),""),"")</f>
        <v/>
      </c>
      <c r="H330" s="10" t="n"/>
      <c r="I330" s="18" t="n"/>
      <c r="J330" s="12">
        <f>IF(AND(ISNUMBER(F330),I330&lt;&gt;""),IFERROR(IF(AND(INDEX(Брони!$F$2:$F$500,MATCH(F330,Брони!$A$2:$A$500,0))="Возвращена",I330&gt;INDEX(Брони!$E$2:$E$500,MATCH(F330,Брони!$A$2:$A$500,0))),"Да",""),""),"")</f>
        <v/>
      </c>
      <c r="K330" s="10" t="n"/>
      <c r="L330" s="14" t="n"/>
      <c r="M330" s="15">
        <f>IF(OR(A330="",B330=""),"",IF(AND(ISNUMBER(F330),H330&lt;&gt;"Компания"),D330+L330,0))</f>
        <v/>
      </c>
      <c r="N330" s="21">
        <f>SUMPRODUCT(MAX((Брони!$B$2:$B$500=B330)*((Брони!$F$2:$F$500="Выдана")+(Брони!$F$2:$F$500="Возвращена"))*(Брони!$D$2:$D$500&lt;=A330)*Брони!$D$2:$D$500))</f>
        <v/>
      </c>
      <c r="O330" s="19">
        <f>SUMPRODUCT((Брони!$B$2:$B$500=B330)*(Брони!$D$2:$D$500=N330)*((((Брони!$F$2:$F$500="Выдана")*NOW())+((Брони!$F$2:$F$500="Возвращена")*Брони!$E$2:$E$500))&gt;=A330)*Брони!$A$2:$A$500)</f>
        <v/>
      </c>
      <c r="P330" s="19">
        <f>SUMPRODUCT((Брони!$B$2:$B$500=B330)*(Брони!$D$2:$D$500=N330)*(((Брони!$F$2:$F$500="Выдана")+(Брони!$F$2:$F$500="Возвращена"))))</f>
        <v/>
      </c>
      <c r="Q330" s="10" t="n"/>
    </row>
    <row r="331">
      <c r="A331" s="11" t="n"/>
      <c r="B331" s="10" t="n"/>
      <c r="C331" s="10" t="n"/>
      <c r="D331" s="14" t="n"/>
      <c r="E331" s="10" t="n"/>
      <c r="F331" s="20">
        <f>IF(OR(A331="",B331=""),"",IF(OR(NOT(ISNUMBER(A331)),ISERROR(N331+O331+P331)),"Проверьте даты",IF(AND(N331&gt;0,P331&gt;1),"Дубль",IF(AND(N331&gt;0,O331&gt;0),O331,"Вне аренды"))))</f>
        <v/>
      </c>
      <c r="G331" s="12">
        <f>IF(ISNUMBER(F331),IFERROR(INDEX(Брони!$C$2:$C$500,MATCH(F331,Брони!$A$2:$A$500,0)),""),"")</f>
        <v/>
      </c>
      <c r="H331" s="10" t="n"/>
      <c r="I331" s="18" t="n"/>
      <c r="J331" s="12">
        <f>IF(AND(ISNUMBER(F331),I331&lt;&gt;""),IFERROR(IF(AND(INDEX(Брони!$F$2:$F$500,MATCH(F331,Брони!$A$2:$A$500,0))="Возвращена",I331&gt;INDEX(Брони!$E$2:$E$500,MATCH(F331,Брони!$A$2:$A$500,0))),"Да",""),""),"")</f>
        <v/>
      </c>
      <c r="K331" s="10" t="n"/>
      <c r="L331" s="14" t="n"/>
      <c r="M331" s="15">
        <f>IF(OR(A331="",B331=""),"",IF(AND(ISNUMBER(F331),H331&lt;&gt;"Компания"),D331+L331,0))</f>
        <v/>
      </c>
      <c r="N331" s="21">
        <f>SUMPRODUCT(MAX((Брони!$B$2:$B$500=B331)*((Брони!$F$2:$F$500="Выдана")+(Брони!$F$2:$F$500="Возвращена"))*(Брони!$D$2:$D$500&lt;=A331)*Брони!$D$2:$D$500))</f>
        <v/>
      </c>
      <c r="O331" s="19">
        <f>SUMPRODUCT((Брони!$B$2:$B$500=B331)*(Брони!$D$2:$D$500=N331)*((((Брони!$F$2:$F$500="Выдана")*NOW())+((Брони!$F$2:$F$500="Возвращена")*Брони!$E$2:$E$500))&gt;=A331)*Брони!$A$2:$A$500)</f>
        <v/>
      </c>
      <c r="P331" s="19">
        <f>SUMPRODUCT((Брони!$B$2:$B$500=B331)*(Брони!$D$2:$D$500=N331)*(((Брони!$F$2:$F$500="Выдана")+(Брони!$F$2:$F$500="Возвращена"))))</f>
        <v/>
      </c>
      <c r="Q331" s="10" t="n"/>
    </row>
    <row r="332">
      <c r="A332" s="11" t="n"/>
      <c r="B332" s="10" t="n"/>
      <c r="C332" s="10" t="n"/>
      <c r="D332" s="14" t="n"/>
      <c r="E332" s="10" t="n"/>
      <c r="F332" s="20">
        <f>IF(OR(A332="",B332=""),"",IF(OR(NOT(ISNUMBER(A332)),ISERROR(N332+O332+P332)),"Проверьте даты",IF(AND(N332&gt;0,P332&gt;1),"Дубль",IF(AND(N332&gt;0,O332&gt;0),O332,"Вне аренды"))))</f>
        <v/>
      </c>
      <c r="G332" s="12">
        <f>IF(ISNUMBER(F332),IFERROR(INDEX(Брони!$C$2:$C$500,MATCH(F332,Брони!$A$2:$A$500,0)),""),"")</f>
        <v/>
      </c>
      <c r="H332" s="10" t="n"/>
      <c r="I332" s="18" t="n"/>
      <c r="J332" s="12">
        <f>IF(AND(ISNUMBER(F332),I332&lt;&gt;""),IFERROR(IF(AND(INDEX(Брони!$F$2:$F$500,MATCH(F332,Брони!$A$2:$A$500,0))="Возвращена",I332&gt;INDEX(Брони!$E$2:$E$500,MATCH(F332,Брони!$A$2:$A$500,0))),"Да",""),""),"")</f>
        <v/>
      </c>
      <c r="K332" s="10" t="n"/>
      <c r="L332" s="14" t="n"/>
      <c r="M332" s="15">
        <f>IF(OR(A332="",B332=""),"",IF(AND(ISNUMBER(F332),H332&lt;&gt;"Компания"),D332+L332,0))</f>
        <v/>
      </c>
      <c r="N332" s="21">
        <f>SUMPRODUCT(MAX((Брони!$B$2:$B$500=B332)*((Брони!$F$2:$F$500="Выдана")+(Брони!$F$2:$F$500="Возвращена"))*(Брони!$D$2:$D$500&lt;=A332)*Брони!$D$2:$D$500))</f>
        <v/>
      </c>
      <c r="O332" s="19">
        <f>SUMPRODUCT((Брони!$B$2:$B$500=B332)*(Брони!$D$2:$D$500=N332)*((((Брони!$F$2:$F$500="Выдана")*NOW())+((Брони!$F$2:$F$500="Возвращена")*Брони!$E$2:$E$500))&gt;=A332)*Брони!$A$2:$A$500)</f>
        <v/>
      </c>
      <c r="P332" s="19">
        <f>SUMPRODUCT((Брони!$B$2:$B$500=B332)*(Брони!$D$2:$D$500=N332)*(((Брони!$F$2:$F$500="Выдана")+(Брони!$F$2:$F$500="Возвращена"))))</f>
        <v/>
      </c>
      <c r="Q332" s="10" t="n"/>
    </row>
    <row r="333">
      <c r="A333" s="11" t="n"/>
      <c r="B333" s="10" t="n"/>
      <c r="C333" s="10" t="n"/>
      <c r="D333" s="14" t="n"/>
      <c r="E333" s="10" t="n"/>
      <c r="F333" s="20">
        <f>IF(OR(A333="",B333=""),"",IF(OR(NOT(ISNUMBER(A333)),ISERROR(N333+O333+P333)),"Проверьте даты",IF(AND(N333&gt;0,P333&gt;1),"Дубль",IF(AND(N333&gt;0,O333&gt;0),O333,"Вне аренды"))))</f>
        <v/>
      </c>
      <c r="G333" s="12">
        <f>IF(ISNUMBER(F333),IFERROR(INDEX(Брони!$C$2:$C$500,MATCH(F333,Брони!$A$2:$A$500,0)),""),"")</f>
        <v/>
      </c>
      <c r="H333" s="10" t="n"/>
      <c r="I333" s="18" t="n"/>
      <c r="J333" s="12">
        <f>IF(AND(ISNUMBER(F333),I333&lt;&gt;""),IFERROR(IF(AND(INDEX(Брони!$F$2:$F$500,MATCH(F333,Брони!$A$2:$A$500,0))="Возвращена",I333&gt;INDEX(Брони!$E$2:$E$500,MATCH(F333,Брони!$A$2:$A$500,0))),"Да",""),""),"")</f>
        <v/>
      </c>
      <c r="K333" s="10" t="n"/>
      <c r="L333" s="14" t="n"/>
      <c r="M333" s="15">
        <f>IF(OR(A333="",B333=""),"",IF(AND(ISNUMBER(F333),H333&lt;&gt;"Компания"),D333+L333,0))</f>
        <v/>
      </c>
      <c r="N333" s="21">
        <f>SUMPRODUCT(MAX((Брони!$B$2:$B$500=B333)*((Брони!$F$2:$F$500="Выдана")+(Брони!$F$2:$F$500="Возвращена"))*(Брони!$D$2:$D$500&lt;=A333)*Брони!$D$2:$D$500))</f>
        <v/>
      </c>
      <c r="O333" s="19">
        <f>SUMPRODUCT((Брони!$B$2:$B$500=B333)*(Брони!$D$2:$D$500=N333)*((((Брони!$F$2:$F$500="Выдана")*NOW())+((Брони!$F$2:$F$500="Возвращена")*Брони!$E$2:$E$500))&gt;=A333)*Брони!$A$2:$A$500)</f>
        <v/>
      </c>
      <c r="P333" s="19">
        <f>SUMPRODUCT((Брони!$B$2:$B$500=B333)*(Брони!$D$2:$D$500=N333)*(((Брони!$F$2:$F$500="Выдана")+(Брони!$F$2:$F$500="Возвращена"))))</f>
        <v/>
      </c>
      <c r="Q333" s="10" t="n"/>
    </row>
    <row r="334">
      <c r="A334" s="11" t="n"/>
      <c r="B334" s="10" t="n"/>
      <c r="C334" s="10" t="n"/>
      <c r="D334" s="14" t="n"/>
      <c r="E334" s="10" t="n"/>
      <c r="F334" s="20">
        <f>IF(OR(A334="",B334=""),"",IF(OR(NOT(ISNUMBER(A334)),ISERROR(N334+O334+P334)),"Проверьте даты",IF(AND(N334&gt;0,P334&gt;1),"Дубль",IF(AND(N334&gt;0,O334&gt;0),O334,"Вне аренды"))))</f>
        <v/>
      </c>
      <c r="G334" s="12">
        <f>IF(ISNUMBER(F334),IFERROR(INDEX(Брони!$C$2:$C$500,MATCH(F334,Брони!$A$2:$A$500,0)),""),"")</f>
        <v/>
      </c>
      <c r="H334" s="10" t="n"/>
      <c r="I334" s="18" t="n"/>
      <c r="J334" s="12">
        <f>IF(AND(ISNUMBER(F334),I334&lt;&gt;""),IFERROR(IF(AND(INDEX(Брони!$F$2:$F$500,MATCH(F334,Брони!$A$2:$A$500,0))="Возвращена",I334&gt;INDEX(Брони!$E$2:$E$500,MATCH(F334,Брони!$A$2:$A$500,0))),"Да",""),""),"")</f>
        <v/>
      </c>
      <c r="K334" s="10" t="n"/>
      <c r="L334" s="14" t="n"/>
      <c r="M334" s="15">
        <f>IF(OR(A334="",B334=""),"",IF(AND(ISNUMBER(F334),H334&lt;&gt;"Компания"),D334+L334,0))</f>
        <v/>
      </c>
      <c r="N334" s="21">
        <f>SUMPRODUCT(MAX((Брони!$B$2:$B$500=B334)*((Брони!$F$2:$F$500="Выдана")+(Брони!$F$2:$F$500="Возвращена"))*(Брони!$D$2:$D$500&lt;=A334)*Брони!$D$2:$D$500))</f>
        <v/>
      </c>
      <c r="O334" s="19">
        <f>SUMPRODUCT((Брони!$B$2:$B$500=B334)*(Брони!$D$2:$D$500=N334)*((((Брони!$F$2:$F$500="Выдана")*NOW())+((Брони!$F$2:$F$500="Возвращена")*Брони!$E$2:$E$500))&gt;=A334)*Брони!$A$2:$A$500)</f>
        <v/>
      </c>
      <c r="P334" s="19">
        <f>SUMPRODUCT((Брони!$B$2:$B$500=B334)*(Брони!$D$2:$D$500=N334)*(((Брони!$F$2:$F$500="Выдана")+(Брони!$F$2:$F$500="Возвращена"))))</f>
        <v/>
      </c>
      <c r="Q334" s="10" t="n"/>
    </row>
    <row r="335">
      <c r="A335" s="11" t="n"/>
      <c r="B335" s="10" t="n"/>
      <c r="C335" s="10" t="n"/>
      <c r="D335" s="14" t="n"/>
      <c r="E335" s="10" t="n"/>
      <c r="F335" s="20">
        <f>IF(OR(A335="",B335=""),"",IF(OR(NOT(ISNUMBER(A335)),ISERROR(N335+O335+P335)),"Проверьте даты",IF(AND(N335&gt;0,P335&gt;1),"Дубль",IF(AND(N335&gt;0,O335&gt;0),O335,"Вне аренды"))))</f>
        <v/>
      </c>
      <c r="G335" s="12">
        <f>IF(ISNUMBER(F335),IFERROR(INDEX(Брони!$C$2:$C$500,MATCH(F335,Брони!$A$2:$A$500,0)),""),"")</f>
        <v/>
      </c>
      <c r="H335" s="10" t="n"/>
      <c r="I335" s="18" t="n"/>
      <c r="J335" s="12">
        <f>IF(AND(ISNUMBER(F335),I335&lt;&gt;""),IFERROR(IF(AND(INDEX(Брони!$F$2:$F$500,MATCH(F335,Брони!$A$2:$A$500,0))="Возвращена",I335&gt;INDEX(Брони!$E$2:$E$500,MATCH(F335,Брони!$A$2:$A$500,0))),"Да",""),""),"")</f>
        <v/>
      </c>
      <c r="K335" s="10" t="n"/>
      <c r="L335" s="14" t="n"/>
      <c r="M335" s="15">
        <f>IF(OR(A335="",B335=""),"",IF(AND(ISNUMBER(F335),H335&lt;&gt;"Компания"),D335+L335,0))</f>
        <v/>
      </c>
      <c r="N335" s="21">
        <f>SUMPRODUCT(MAX((Брони!$B$2:$B$500=B335)*((Брони!$F$2:$F$500="Выдана")+(Брони!$F$2:$F$500="Возвращена"))*(Брони!$D$2:$D$500&lt;=A335)*Брони!$D$2:$D$500))</f>
        <v/>
      </c>
      <c r="O335" s="19">
        <f>SUMPRODUCT((Брони!$B$2:$B$500=B335)*(Брони!$D$2:$D$500=N335)*((((Брони!$F$2:$F$500="Выдана")*NOW())+((Брони!$F$2:$F$500="Возвращена")*Брони!$E$2:$E$500))&gt;=A335)*Брони!$A$2:$A$500)</f>
        <v/>
      </c>
      <c r="P335" s="19">
        <f>SUMPRODUCT((Брони!$B$2:$B$500=B335)*(Брони!$D$2:$D$500=N335)*(((Брони!$F$2:$F$500="Выдана")+(Брони!$F$2:$F$500="Возвращена"))))</f>
        <v/>
      </c>
      <c r="Q335" s="10" t="n"/>
    </row>
    <row r="336">
      <c r="A336" s="11" t="n"/>
      <c r="B336" s="10" t="n"/>
      <c r="C336" s="10" t="n"/>
      <c r="D336" s="14" t="n"/>
      <c r="E336" s="10" t="n"/>
      <c r="F336" s="20">
        <f>IF(OR(A336="",B336=""),"",IF(OR(NOT(ISNUMBER(A336)),ISERROR(N336+O336+P336)),"Проверьте даты",IF(AND(N336&gt;0,P336&gt;1),"Дубль",IF(AND(N336&gt;0,O336&gt;0),O336,"Вне аренды"))))</f>
        <v/>
      </c>
      <c r="G336" s="12">
        <f>IF(ISNUMBER(F336),IFERROR(INDEX(Брони!$C$2:$C$500,MATCH(F336,Брони!$A$2:$A$500,0)),""),"")</f>
        <v/>
      </c>
      <c r="H336" s="10" t="n"/>
      <c r="I336" s="18" t="n"/>
      <c r="J336" s="12">
        <f>IF(AND(ISNUMBER(F336),I336&lt;&gt;""),IFERROR(IF(AND(INDEX(Брони!$F$2:$F$500,MATCH(F336,Брони!$A$2:$A$500,0))="Возвращена",I336&gt;INDEX(Брони!$E$2:$E$500,MATCH(F336,Брони!$A$2:$A$500,0))),"Да",""),""),"")</f>
        <v/>
      </c>
      <c r="K336" s="10" t="n"/>
      <c r="L336" s="14" t="n"/>
      <c r="M336" s="15">
        <f>IF(OR(A336="",B336=""),"",IF(AND(ISNUMBER(F336),H336&lt;&gt;"Компания"),D336+L336,0))</f>
        <v/>
      </c>
      <c r="N336" s="21">
        <f>SUMPRODUCT(MAX((Брони!$B$2:$B$500=B336)*((Брони!$F$2:$F$500="Выдана")+(Брони!$F$2:$F$500="Возвращена"))*(Брони!$D$2:$D$500&lt;=A336)*Брони!$D$2:$D$500))</f>
        <v/>
      </c>
      <c r="O336" s="19">
        <f>SUMPRODUCT((Брони!$B$2:$B$500=B336)*(Брони!$D$2:$D$500=N336)*((((Брони!$F$2:$F$500="Выдана")*NOW())+((Брони!$F$2:$F$500="Возвращена")*Брони!$E$2:$E$500))&gt;=A336)*Брони!$A$2:$A$500)</f>
        <v/>
      </c>
      <c r="P336" s="19">
        <f>SUMPRODUCT((Брони!$B$2:$B$500=B336)*(Брони!$D$2:$D$500=N336)*(((Брони!$F$2:$F$500="Выдана")+(Брони!$F$2:$F$500="Возвращена"))))</f>
        <v/>
      </c>
      <c r="Q336" s="10" t="n"/>
    </row>
    <row r="337">
      <c r="A337" s="11" t="n"/>
      <c r="B337" s="10" t="n"/>
      <c r="C337" s="10" t="n"/>
      <c r="D337" s="14" t="n"/>
      <c r="E337" s="10" t="n"/>
      <c r="F337" s="20">
        <f>IF(OR(A337="",B337=""),"",IF(OR(NOT(ISNUMBER(A337)),ISERROR(N337+O337+P337)),"Проверьте даты",IF(AND(N337&gt;0,P337&gt;1),"Дубль",IF(AND(N337&gt;0,O337&gt;0),O337,"Вне аренды"))))</f>
        <v/>
      </c>
      <c r="G337" s="12">
        <f>IF(ISNUMBER(F337),IFERROR(INDEX(Брони!$C$2:$C$500,MATCH(F337,Брони!$A$2:$A$500,0)),""),"")</f>
        <v/>
      </c>
      <c r="H337" s="10" t="n"/>
      <c r="I337" s="18" t="n"/>
      <c r="J337" s="12">
        <f>IF(AND(ISNUMBER(F337),I337&lt;&gt;""),IFERROR(IF(AND(INDEX(Брони!$F$2:$F$500,MATCH(F337,Брони!$A$2:$A$500,0))="Возвращена",I337&gt;INDEX(Брони!$E$2:$E$500,MATCH(F337,Брони!$A$2:$A$500,0))),"Да",""),""),"")</f>
        <v/>
      </c>
      <c r="K337" s="10" t="n"/>
      <c r="L337" s="14" t="n"/>
      <c r="M337" s="15">
        <f>IF(OR(A337="",B337=""),"",IF(AND(ISNUMBER(F337),H337&lt;&gt;"Компания"),D337+L337,0))</f>
        <v/>
      </c>
      <c r="N337" s="21">
        <f>SUMPRODUCT(MAX((Брони!$B$2:$B$500=B337)*((Брони!$F$2:$F$500="Выдана")+(Брони!$F$2:$F$500="Возвращена"))*(Брони!$D$2:$D$500&lt;=A337)*Брони!$D$2:$D$500))</f>
        <v/>
      </c>
      <c r="O337" s="19">
        <f>SUMPRODUCT((Брони!$B$2:$B$500=B337)*(Брони!$D$2:$D$500=N337)*((((Брони!$F$2:$F$500="Выдана")*NOW())+((Брони!$F$2:$F$500="Возвращена")*Брони!$E$2:$E$500))&gt;=A337)*Брони!$A$2:$A$500)</f>
        <v/>
      </c>
      <c r="P337" s="19">
        <f>SUMPRODUCT((Брони!$B$2:$B$500=B337)*(Брони!$D$2:$D$500=N337)*(((Брони!$F$2:$F$500="Выдана")+(Брони!$F$2:$F$500="Возвращена"))))</f>
        <v/>
      </c>
      <c r="Q337" s="10" t="n"/>
    </row>
    <row r="338">
      <c r="A338" s="11" t="n"/>
      <c r="B338" s="10" t="n"/>
      <c r="C338" s="10" t="n"/>
      <c r="D338" s="14" t="n"/>
      <c r="E338" s="10" t="n"/>
      <c r="F338" s="20">
        <f>IF(OR(A338="",B338=""),"",IF(OR(NOT(ISNUMBER(A338)),ISERROR(N338+O338+P338)),"Проверьте даты",IF(AND(N338&gt;0,P338&gt;1),"Дубль",IF(AND(N338&gt;0,O338&gt;0),O338,"Вне аренды"))))</f>
        <v/>
      </c>
      <c r="G338" s="12">
        <f>IF(ISNUMBER(F338),IFERROR(INDEX(Брони!$C$2:$C$500,MATCH(F338,Брони!$A$2:$A$500,0)),""),"")</f>
        <v/>
      </c>
      <c r="H338" s="10" t="n"/>
      <c r="I338" s="18" t="n"/>
      <c r="J338" s="12">
        <f>IF(AND(ISNUMBER(F338),I338&lt;&gt;""),IFERROR(IF(AND(INDEX(Брони!$F$2:$F$500,MATCH(F338,Брони!$A$2:$A$500,0))="Возвращена",I338&gt;INDEX(Брони!$E$2:$E$500,MATCH(F338,Брони!$A$2:$A$500,0))),"Да",""),""),"")</f>
        <v/>
      </c>
      <c r="K338" s="10" t="n"/>
      <c r="L338" s="14" t="n"/>
      <c r="M338" s="15">
        <f>IF(OR(A338="",B338=""),"",IF(AND(ISNUMBER(F338),H338&lt;&gt;"Компания"),D338+L338,0))</f>
        <v/>
      </c>
      <c r="N338" s="21">
        <f>SUMPRODUCT(MAX((Брони!$B$2:$B$500=B338)*((Брони!$F$2:$F$500="Выдана")+(Брони!$F$2:$F$500="Возвращена"))*(Брони!$D$2:$D$500&lt;=A338)*Брони!$D$2:$D$500))</f>
        <v/>
      </c>
      <c r="O338" s="19">
        <f>SUMPRODUCT((Брони!$B$2:$B$500=B338)*(Брони!$D$2:$D$500=N338)*((((Брони!$F$2:$F$500="Выдана")*NOW())+((Брони!$F$2:$F$500="Возвращена")*Брони!$E$2:$E$500))&gt;=A338)*Брони!$A$2:$A$500)</f>
        <v/>
      </c>
      <c r="P338" s="19">
        <f>SUMPRODUCT((Брони!$B$2:$B$500=B338)*(Брони!$D$2:$D$500=N338)*(((Брони!$F$2:$F$500="Выдана")+(Брони!$F$2:$F$500="Возвращена"))))</f>
        <v/>
      </c>
      <c r="Q338" s="10" t="n"/>
    </row>
    <row r="339">
      <c r="A339" s="11" t="n"/>
      <c r="B339" s="10" t="n"/>
      <c r="C339" s="10" t="n"/>
      <c r="D339" s="14" t="n"/>
      <c r="E339" s="10" t="n"/>
      <c r="F339" s="20">
        <f>IF(OR(A339="",B339=""),"",IF(OR(NOT(ISNUMBER(A339)),ISERROR(N339+O339+P339)),"Проверьте даты",IF(AND(N339&gt;0,P339&gt;1),"Дубль",IF(AND(N339&gt;0,O339&gt;0),O339,"Вне аренды"))))</f>
        <v/>
      </c>
      <c r="G339" s="12">
        <f>IF(ISNUMBER(F339),IFERROR(INDEX(Брони!$C$2:$C$500,MATCH(F339,Брони!$A$2:$A$500,0)),""),"")</f>
        <v/>
      </c>
      <c r="H339" s="10" t="n"/>
      <c r="I339" s="18" t="n"/>
      <c r="J339" s="12">
        <f>IF(AND(ISNUMBER(F339),I339&lt;&gt;""),IFERROR(IF(AND(INDEX(Брони!$F$2:$F$500,MATCH(F339,Брони!$A$2:$A$500,0))="Возвращена",I339&gt;INDEX(Брони!$E$2:$E$500,MATCH(F339,Брони!$A$2:$A$500,0))),"Да",""),""),"")</f>
        <v/>
      </c>
      <c r="K339" s="10" t="n"/>
      <c r="L339" s="14" t="n"/>
      <c r="M339" s="15">
        <f>IF(OR(A339="",B339=""),"",IF(AND(ISNUMBER(F339),H339&lt;&gt;"Компания"),D339+L339,0))</f>
        <v/>
      </c>
      <c r="N339" s="21">
        <f>SUMPRODUCT(MAX((Брони!$B$2:$B$500=B339)*((Брони!$F$2:$F$500="Выдана")+(Брони!$F$2:$F$500="Возвращена"))*(Брони!$D$2:$D$500&lt;=A339)*Брони!$D$2:$D$500))</f>
        <v/>
      </c>
      <c r="O339" s="19">
        <f>SUMPRODUCT((Брони!$B$2:$B$500=B339)*(Брони!$D$2:$D$500=N339)*((((Брони!$F$2:$F$500="Выдана")*NOW())+((Брони!$F$2:$F$500="Возвращена")*Брони!$E$2:$E$500))&gt;=A339)*Брони!$A$2:$A$500)</f>
        <v/>
      </c>
      <c r="P339" s="19">
        <f>SUMPRODUCT((Брони!$B$2:$B$500=B339)*(Брони!$D$2:$D$500=N339)*(((Брони!$F$2:$F$500="Выдана")+(Брони!$F$2:$F$500="Возвращена"))))</f>
        <v/>
      </c>
      <c r="Q339" s="10" t="n"/>
    </row>
    <row r="340">
      <c r="A340" s="11" t="n"/>
      <c r="B340" s="10" t="n"/>
      <c r="C340" s="10" t="n"/>
      <c r="D340" s="14" t="n"/>
      <c r="E340" s="10" t="n"/>
      <c r="F340" s="20">
        <f>IF(OR(A340="",B340=""),"",IF(OR(NOT(ISNUMBER(A340)),ISERROR(N340+O340+P340)),"Проверьте даты",IF(AND(N340&gt;0,P340&gt;1),"Дубль",IF(AND(N340&gt;0,O340&gt;0),O340,"Вне аренды"))))</f>
        <v/>
      </c>
      <c r="G340" s="12">
        <f>IF(ISNUMBER(F340),IFERROR(INDEX(Брони!$C$2:$C$500,MATCH(F340,Брони!$A$2:$A$500,0)),""),"")</f>
        <v/>
      </c>
      <c r="H340" s="10" t="n"/>
      <c r="I340" s="18" t="n"/>
      <c r="J340" s="12">
        <f>IF(AND(ISNUMBER(F340),I340&lt;&gt;""),IFERROR(IF(AND(INDEX(Брони!$F$2:$F$500,MATCH(F340,Брони!$A$2:$A$500,0))="Возвращена",I340&gt;INDEX(Брони!$E$2:$E$500,MATCH(F340,Брони!$A$2:$A$500,0))),"Да",""),""),"")</f>
        <v/>
      </c>
      <c r="K340" s="10" t="n"/>
      <c r="L340" s="14" t="n"/>
      <c r="M340" s="15">
        <f>IF(OR(A340="",B340=""),"",IF(AND(ISNUMBER(F340),H340&lt;&gt;"Компания"),D340+L340,0))</f>
        <v/>
      </c>
      <c r="N340" s="21">
        <f>SUMPRODUCT(MAX((Брони!$B$2:$B$500=B340)*((Брони!$F$2:$F$500="Выдана")+(Брони!$F$2:$F$500="Возвращена"))*(Брони!$D$2:$D$500&lt;=A340)*Брони!$D$2:$D$500))</f>
        <v/>
      </c>
      <c r="O340" s="19">
        <f>SUMPRODUCT((Брони!$B$2:$B$500=B340)*(Брони!$D$2:$D$500=N340)*((((Брони!$F$2:$F$500="Выдана")*NOW())+((Брони!$F$2:$F$500="Возвращена")*Брони!$E$2:$E$500))&gt;=A340)*Брони!$A$2:$A$500)</f>
        <v/>
      </c>
      <c r="P340" s="19">
        <f>SUMPRODUCT((Брони!$B$2:$B$500=B340)*(Брони!$D$2:$D$500=N340)*(((Брони!$F$2:$F$500="Выдана")+(Брони!$F$2:$F$500="Возвращена"))))</f>
        <v/>
      </c>
      <c r="Q340" s="10" t="n"/>
    </row>
    <row r="341">
      <c r="A341" s="11" t="n"/>
      <c r="B341" s="10" t="n"/>
      <c r="C341" s="10" t="n"/>
      <c r="D341" s="14" t="n"/>
      <c r="E341" s="10" t="n"/>
      <c r="F341" s="20">
        <f>IF(OR(A341="",B341=""),"",IF(OR(NOT(ISNUMBER(A341)),ISERROR(N341+O341+P341)),"Проверьте даты",IF(AND(N341&gt;0,P341&gt;1),"Дубль",IF(AND(N341&gt;0,O341&gt;0),O341,"Вне аренды"))))</f>
        <v/>
      </c>
      <c r="G341" s="12">
        <f>IF(ISNUMBER(F341),IFERROR(INDEX(Брони!$C$2:$C$500,MATCH(F341,Брони!$A$2:$A$500,0)),""),"")</f>
        <v/>
      </c>
      <c r="H341" s="10" t="n"/>
      <c r="I341" s="18" t="n"/>
      <c r="J341" s="12">
        <f>IF(AND(ISNUMBER(F341),I341&lt;&gt;""),IFERROR(IF(AND(INDEX(Брони!$F$2:$F$500,MATCH(F341,Брони!$A$2:$A$500,0))="Возвращена",I341&gt;INDEX(Брони!$E$2:$E$500,MATCH(F341,Брони!$A$2:$A$500,0))),"Да",""),""),"")</f>
        <v/>
      </c>
      <c r="K341" s="10" t="n"/>
      <c r="L341" s="14" t="n"/>
      <c r="M341" s="15">
        <f>IF(OR(A341="",B341=""),"",IF(AND(ISNUMBER(F341),H341&lt;&gt;"Компания"),D341+L341,0))</f>
        <v/>
      </c>
      <c r="N341" s="21">
        <f>SUMPRODUCT(MAX((Брони!$B$2:$B$500=B341)*((Брони!$F$2:$F$500="Выдана")+(Брони!$F$2:$F$500="Возвращена"))*(Брони!$D$2:$D$500&lt;=A341)*Брони!$D$2:$D$500))</f>
        <v/>
      </c>
      <c r="O341" s="19">
        <f>SUMPRODUCT((Брони!$B$2:$B$500=B341)*(Брони!$D$2:$D$500=N341)*((((Брони!$F$2:$F$500="Выдана")*NOW())+((Брони!$F$2:$F$500="Возвращена")*Брони!$E$2:$E$500))&gt;=A341)*Брони!$A$2:$A$500)</f>
        <v/>
      </c>
      <c r="P341" s="19">
        <f>SUMPRODUCT((Брони!$B$2:$B$500=B341)*(Брони!$D$2:$D$500=N341)*(((Брони!$F$2:$F$500="Выдана")+(Брони!$F$2:$F$500="Возвращена"))))</f>
        <v/>
      </c>
      <c r="Q341" s="10" t="n"/>
    </row>
    <row r="342">
      <c r="A342" s="11" t="n"/>
      <c r="B342" s="10" t="n"/>
      <c r="C342" s="10" t="n"/>
      <c r="D342" s="14" t="n"/>
      <c r="E342" s="10" t="n"/>
      <c r="F342" s="20">
        <f>IF(OR(A342="",B342=""),"",IF(OR(NOT(ISNUMBER(A342)),ISERROR(N342+O342+P342)),"Проверьте даты",IF(AND(N342&gt;0,P342&gt;1),"Дубль",IF(AND(N342&gt;0,O342&gt;0),O342,"Вне аренды"))))</f>
        <v/>
      </c>
      <c r="G342" s="12">
        <f>IF(ISNUMBER(F342),IFERROR(INDEX(Брони!$C$2:$C$500,MATCH(F342,Брони!$A$2:$A$500,0)),""),"")</f>
        <v/>
      </c>
      <c r="H342" s="10" t="n"/>
      <c r="I342" s="18" t="n"/>
      <c r="J342" s="12">
        <f>IF(AND(ISNUMBER(F342),I342&lt;&gt;""),IFERROR(IF(AND(INDEX(Брони!$F$2:$F$500,MATCH(F342,Брони!$A$2:$A$500,0))="Возвращена",I342&gt;INDEX(Брони!$E$2:$E$500,MATCH(F342,Брони!$A$2:$A$500,0))),"Да",""),""),"")</f>
        <v/>
      </c>
      <c r="K342" s="10" t="n"/>
      <c r="L342" s="14" t="n"/>
      <c r="M342" s="15">
        <f>IF(OR(A342="",B342=""),"",IF(AND(ISNUMBER(F342),H342&lt;&gt;"Компания"),D342+L342,0))</f>
        <v/>
      </c>
      <c r="N342" s="21">
        <f>SUMPRODUCT(MAX((Брони!$B$2:$B$500=B342)*((Брони!$F$2:$F$500="Выдана")+(Брони!$F$2:$F$500="Возвращена"))*(Брони!$D$2:$D$500&lt;=A342)*Брони!$D$2:$D$500))</f>
        <v/>
      </c>
      <c r="O342" s="19">
        <f>SUMPRODUCT((Брони!$B$2:$B$500=B342)*(Брони!$D$2:$D$500=N342)*((((Брони!$F$2:$F$500="Выдана")*NOW())+((Брони!$F$2:$F$500="Возвращена")*Брони!$E$2:$E$500))&gt;=A342)*Брони!$A$2:$A$500)</f>
        <v/>
      </c>
      <c r="P342" s="19">
        <f>SUMPRODUCT((Брони!$B$2:$B$500=B342)*(Брони!$D$2:$D$500=N342)*(((Брони!$F$2:$F$500="Выдана")+(Брони!$F$2:$F$500="Возвращена"))))</f>
        <v/>
      </c>
      <c r="Q342" s="10" t="n"/>
    </row>
    <row r="343">
      <c r="A343" s="11" t="n"/>
      <c r="B343" s="10" t="n"/>
      <c r="C343" s="10" t="n"/>
      <c r="D343" s="14" t="n"/>
      <c r="E343" s="10" t="n"/>
      <c r="F343" s="20">
        <f>IF(OR(A343="",B343=""),"",IF(OR(NOT(ISNUMBER(A343)),ISERROR(N343+O343+P343)),"Проверьте даты",IF(AND(N343&gt;0,P343&gt;1),"Дубль",IF(AND(N343&gt;0,O343&gt;0),O343,"Вне аренды"))))</f>
        <v/>
      </c>
      <c r="G343" s="12">
        <f>IF(ISNUMBER(F343),IFERROR(INDEX(Брони!$C$2:$C$500,MATCH(F343,Брони!$A$2:$A$500,0)),""),"")</f>
        <v/>
      </c>
      <c r="H343" s="10" t="n"/>
      <c r="I343" s="18" t="n"/>
      <c r="J343" s="12">
        <f>IF(AND(ISNUMBER(F343),I343&lt;&gt;""),IFERROR(IF(AND(INDEX(Брони!$F$2:$F$500,MATCH(F343,Брони!$A$2:$A$500,0))="Возвращена",I343&gt;INDEX(Брони!$E$2:$E$500,MATCH(F343,Брони!$A$2:$A$500,0))),"Да",""),""),"")</f>
        <v/>
      </c>
      <c r="K343" s="10" t="n"/>
      <c r="L343" s="14" t="n"/>
      <c r="M343" s="15">
        <f>IF(OR(A343="",B343=""),"",IF(AND(ISNUMBER(F343),H343&lt;&gt;"Компания"),D343+L343,0))</f>
        <v/>
      </c>
      <c r="N343" s="21">
        <f>SUMPRODUCT(MAX((Брони!$B$2:$B$500=B343)*((Брони!$F$2:$F$500="Выдана")+(Брони!$F$2:$F$500="Возвращена"))*(Брони!$D$2:$D$500&lt;=A343)*Брони!$D$2:$D$500))</f>
        <v/>
      </c>
      <c r="O343" s="19">
        <f>SUMPRODUCT((Брони!$B$2:$B$500=B343)*(Брони!$D$2:$D$500=N343)*((((Брони!$F$2:$F$500="Выдана")*NOW())+((Брони!$F$2:$F$500="Возвращена")*Брони!$E$2:$E$500))&gt;=A343)*Брони!$A$2:$A$500)</f>
        <v/>
      </c>
      <c r="P343" s="19">
        <f>SUMPRODUCT((Брони!$B$2:$B$500=B343)*(Брони!$D$2:$D$500=N343)*(((Брони!$F$2:$F$500="Выдана")+(Брони!$F$2:$F$500="Возвращена"))))</f>
        <v/>
      </c>
      <c r="Q343" s="10" t="n"/>
    </row>
    <row r="344">
      <c r="A344" s="11" t="n"/>
      <c r="B344" s="10" t="n"/>
      <c r="C344" s="10" t="n"/>
      <c r="D344" s="14" t="n"/>
      <c r="E344" s="10" t="n"/>
      <c r="F344" s="20">
        <f>IF(OR(A344="",B344=""),"",IF(OR(NOT(ISNUMBER(A344)),ISERROR(N344+O344+P344)),"Проверьте даты",IF(AND(N344&gt;0,P344&gt;1),"Дубль",IF(AND(N344&gt;0,O344&gt;0),O344,"Вне аренды"))))</f>
        <v/>
      </c>
      <c r="G344" s="12">
        <f>IF(ISNUMBER(F344),IFERROR(INDEX(Брони!$C$2:$C$500,MATCH(F344,Брони!$A$2:$A$500,0)),""),"")</f>
        <v/>
      </c>
      <c r="H344" s="10" t="n"/>
      <c r="I344" s="18" t="n"/>
      <c r="J344" s="12">
        <f>IF(AND(ISNUMBER(F344),I344&lt;&gt;""),IFERROR(IF(AND(INDEX(Брони!$F$2:$F$500,MATCH(F344,Брони!$A$2:$A$500,0))="Возвращена",I344&gt;INDEX(Брони!$E$2:$E$500,MATCH(F344,Брони!$A$2:$A$500,0))),"Да",""),""),"")</f>
        <v/>
      </c>
      <c r="K344" s="10" t="n"/>
      <c r="L344" s="14" t="n"/>
      <c r="M344" s="15">
        <f>IF(OR(A344="",B344=""),"",IF(AND(ISNUMBER(F344),H344&lt;&gt;"Компания"),D344+L344,0))</f>
        <v/>
      </c>
      <c r="N344" s="21">
        <f>SUMPRODUCT(MAX((Брони!$B$2:$B$500=B344)*((Брони!$F$2:$F$500="Выдана")+(Брони!$F$2:$F$500="Возвращена"))*(Брони!$D$2:$D$500&lt;=A344)*Брони!$D$2:$D$500))</f>
        <v/>
      </c>
      <c r="O344" s="19">
        <f>SUMPRODUCT((Брони!$B$2:$B$500=B344)*(Брони!$D$2:$D$500=N344)*((((Брони!$F$2:$F$500="Выдана")*NOW())+((Брони!$F$2:$F$500="Возвращена")*Брони!$E$2:$E$500))&gt;=A344)*Брони!$A$2:$A$500)</f>
        <v/>
      </c>
      <c r="P344" s="19">
        <f>SUMPRODUCT((Брони!$B$2:$B$500=B344)*(Брони!$D$2:$D$500=N344)*(((Брони!$F$2:$F$500="Выдана")+(Брони!$F$2:$F$500="Возвращена"))))</f>
        <v/>
      </c>
      <c r="Q344" s="10" t="n"/>
    </row>
    <row r="345">
      <c r="A345" s="11" t="n"/>
      <c r="B345" s="10" t="n"/>
      <c r="C345" s="10" t="n"/>
      <c r="D345" s="14" t="n"/>
      <c r="E345" s="10" t="n"/>
      <c r="F345" s="20">
        <f>IF(OR(A345="",B345=""),"",IF(OR(NOT(ISNUMBER(A345)),ISERROR(N345+O345+P345)),"Проверьте даты",IF(AND(N345&gt;0,P345&gt;1),"Дубль",IF(AND(N345&gt;0,O345&gt;0),O345,"Вне аренды"))))</f>
        <v/>
      </c>
      <c r="G345" s="12">
        <f>IF(ISNUMBER(F345),IFERROR(INDEX(Брони!$C$2:$C$500,MATCH(F345,Брони!$A$2:$A$500,0)),""),"")</f>
        <v/>
      </c>
      <c r="H345" s="10" t="n"/>
      <c r="I345" s="18" t="n"/>
      <c r="J345" s="12">
        <f>IF(AND(ISNUMBER(F345),I345&lt;&gt;""),IFERROR(IF(AND(INDEX(Брони!$F$2:$F$500,MATCH(F345,Брони!$A$2:$A$500,0))="Возвращена",I345&gt;INDEX(Брони!$E$2:$E$500,MATCH(F345,Брони!$A$2:$A$500,0))),"Да",""),""),"")</f>
        <v/>
      </c>
      <c r="K345" s="10" t="n"/>
      <c r="L345" s="14" t="n"/>
      <c r="M345" s="15">
        <f>IF(OR(A345="",B345=""),"",IF(AND(ISNUMBER(F345),H345&lt;&gt;"Компания"),D345+L345,0))</f>
        <v/>
      </c>
      <c r="N345" s="21">
        <f>SUMPRODUCT(MAX((Брони!$B$2:$B$500=B345)*((Брони!$F$2:$F$500="Выдана")+(Брони!$F$2:$F$500="Возвращена"))*(Брони!$D$2:$D$500&lt;=A345)*Брони!$D$2:$D$500))</f>
        <v/>
      </c>
      <c r="O345" s="19">
        <f>SUMPRODUCT((Брони!$B$2:$B$500=B345)*(Брони!$D$2:$D$500=N345)*((((Брони!$F$2:$F$500="Выдана")*NOW())+((Брони!$F$2:$F$500="Возвращена")*Брони!$E$2:$E$500))&gt;=A345)*Брони!$A$2:$A$500)</f>
        <v/>
      </c>
      <c r="P345" s="19">
        <f>SUMPRODUCT((Брони!$B$2:$B$500=B345)*(Брони!$D$2:$D$500=N345)*(((Брони!$F$2:$F$500="Выдана")+(Брони!$F$2:$F$500="Возвращена"))))</f>
        <v/>
      </c>
      <c r="Q345" s="10" t="n"/>
    </row>
    <row r="346">
      <c r="A346" s="11" t="n"/>
      <c r="B346" s="10" t="n"/>
      <c r="C346" s="10" t="n"/>
      <c r="D346" s="14" t="n"/>
      <c r="E346" s="10" t="n"/>
      <c r="F346" s="20">
        <f>IF(OR(A346="",B346=""),"",IF(OR(NOT(ISNUMBER(A346)),ISERROR(N346+O346+P346)),"Проверьте даты",IF(AND(N346&gt;0,P346&gt;1),"Дубль",IF(AND(N346&gt;0,O346&gt;0),O346,"Вне аренды"))))</f>
        <v/>
      </c>
      <c r="G346" s="12">
        <f>IF(ISNUMBER(F346),IFERROR(INDEX(Брони!$C$2:$C$500,MATCH(F346,Брони!$A$2:$A$500,0)),""),"")</f>
        <v/>
      </c>
      <c r="H346" s="10" t="n"/>
      <c r="I346" s="18" t="n"/>
      <c r="J346" s="12">
        <f>IF(AND(ISNUMBER(F346),I346&lt;&gt;""),IFERROR(IF(AND(INDEX(Брони!$F$2:$F$500,MATCH(F346,Брони!$A$2:$A$500,0))="Возвращена",I346&gt;INDEX(Брони!$E$2:$E$500,MATCH(F346,Брони!$A$2:$A$500,0))),"Да",""),""),"")</f>
        <v/>
      </c>
      <c r="K346" s="10" t="n"/>
      <c r="L346" s="14" t="n"/>
      <c r="M346" s="15">
        <f>IF(OR(A346="",B346=""),"",IF(AND(ISNUMBER(F346),H346&lt;&gt;"Компания"),D346+L346,0))</f>
        <v/>
      </c>
      <c r="N346" s="21">
        <f>SUMPRODUCT(MAX((Брони!$B$2:$B$500=B346)*((Брони!$F$2:$F$500="Выдана")+(Брони!$F$2:$F$500="Возвращена"))*(Брони!$D$2:$D$500&lt;=A346)*Брони!$D$2:$D$500))</f>
        <v/>
      </c>
      <c r="O346" s="19">
        <f>SUMPRODUCT((Брони!$B$2:$B$500=B346)*(Брони!$D$2:$D$500=N346)*((((Брони!$F$2:$F$500="Выдана")*NOW())+((Брони!$F$2:$F$500="Возвращена")*Брони!$E$2:$E$500))&gt;=A346)*Брони!$A$2:$A$500)</f>
        <v/>
      </c>
      <c r="P346" s="19">
        <f>SUMPRODUCT((Брони!$B$2:$B$500=B346)*(Брони!$D$2:$D$500=N346)*(((Брони!$F$2:$F$500="Выдана")+(Брони!$F$2:$F$500="Возвращена"))))</f>
        <v/>
      </c>
      <c r="Q346" s="10" t="n"/>
    </row>
    <row r="347">
      <c r="A347" s="11" t="n"/>
      <c r="B347" s="10" t="n"/>
      <c r="C347" s="10" t="n"/>
      <c r="D347" s="14" t="n"/>
      <c r="E347" s="10" t="n"/>
      <c r="F347" s="20">
        <f>IF(OR(A347="",B347=""),"",IF(OR(NOT(ISNUMBER(A347)),ISERROR(N347+O347+P347)),"Проверьте даты",IF(AND(N347&gt;0,P347&gt;1),"Дубль",IF(AND(N347&gt;0,O347&gt;0),O347,"Вне аренды"))))</f>
        <v/>
      </c>
      <c r="G347" s="12">
        <f>IF(ISNUMBER(F347),IFERROR(INDEX(Брони!$C$2:$C$500,MATCH(F347,Брони!$A$2:$A$500,0)),""),"")</f>
        <v/>
      </c>
      <c r="H347" s="10" t="n"/>
      <c r="I347" s="18" t="n"/>
      <c r="J347" s="12">
        <f>IF(AND(ISNUMBER(F347),I347&lt;&gt;""),IFERROR(IF(AND(INDEX(Брони!$F$2:$F$500,MATCH(F347,Брони!$A$2:$A$500,0))="Возвращена",I347&gt;INDEX(Брони!$E$2:$E$500,MATCH(F347,Брони!$A$2:$A$500,0))),"Да",""),""),"")</f>
        <v/>
      </c>
      <c r="K347" s="10" t="n"/>
      <c r="L347" s="14" t="n"/>
      <c r="M347" s="15">
        <f>IF(OR(A347="",B347=""),"",IF(AND(ISNUMBER(F347),H347&lt;&gt;"Компания"),D347+L347,0))</f>
        <v/>
      </c>
      <c r="N347" s="21">
        <f>SUMPRODUCT(MAX((Брони!$B$2:$B$500=B347)*((Брони!$F$2:$F$500="Выдана")+(Брони!$F$2:$F$500="Возвращена"))*(Брони!$D$2:$D$500&lt;=A347)*Брони!$D$2:$D$500))</f>
        <v/>
      </c>
      <c r="O347" s="19">
        <f>SUMPRODUCT((Брони!$B$2:$B$500=B347)*(Брони!$D$2:$D$500=N347)*((((Брони!$F$2:$F$500="Выдана")*NOW())+((Брони!$F$2:$F$500="Возвращена")*Брони!$E$2:$E$500))&gt;=A347)*Брони!$A$2:$A$500)</f>
        <v/>
      </c>
      <c r="P347" s="19">
        <f>SUMPRODUCT((Брони!$B$2:$B$500=B347)*(Брони!$D$2:$D$500=N347)*(((Брони!$F$2:$F$500="Выдана")+(Брони!$F$2:$F$500="Возвращена"))))</f>
        <v/>
      </c>
      <c r="Q347" s="10" t="n"/>
    </row>
    <row r="348">
      <c r="A348" s="11" t="n"/>
      <c r="B348" s="10" t="n"/>
      <c r="C348" s="10" t="n"/>
      <c r="D348" s="14" t="n"/>
      <c r="E348" s="10" t="n"/>
      <c r="F348" s="20">
        <f>IF(OR(A348="",B348=""),"",IF(OR(NOT(ISNUMBER(A348)),ISERROR(N348+O348+P348)),"Проверьте даты",IF(AND(N348&gt;0,P348&gt;1),"Дубль",IF(AND(N348&gt;0,O348&gt;0),O348,"Вне аренды"))))</f>
        <v/>
      </c>
      <c r="G348" s="12">
        <f>IF(ISNUMBER(F348),IFERROR(INDEX(Брони!$C$2:$C$500,MATCH(F348,Брони!$A$2:$A$500,0)),""),"")</f>
        <v/>
      </c>
      <c r="H348" s="10" t="n"/>
      <c r="I348" s="18" t="n"/>
      <c r="J348" s="12">
        <f>IF(AND(ISNUMBER(F348),I348&lt;&gt;""),IFERROR(IF(AND(INDEX(Брони!$F$2:$F$500,MATCH(F348,Брони!$A$2:$A$500,0))="Возвращена",I348&gt;INDEX(Брони!$E$2:$E$500,MATCH(F348,Брони!$A$2:$A$500,0))),"Да",""),""),"")</f>
        <v/>
      </c>
      <c r="K348" s="10" t="n"/>
      <c r="L348" s="14" t="n"/>
      <c r="M348" s="15">
        <f>IF(OR(A348="",B348=""),"",IF(AND(ISNUMBER(F348),H348&lt;&gt;"Компания"),D348+L348,0))</f>
        <v/>
      </c>
      <c r="N348" s="21">
        <f>SUMPRODUCT(MAX((Брони!$B$2:$B$500=B348)*((Брони!$F$2:$F$500="Выдана")+(Брони!$F$2:$F$500="Возвращена"))*(Брони!$D$2:$D$500&lt;=A348)*Брони!$D$2:$D$500))</f>
        <v/>
      </c>
      <c r="O348" s="19">
        <f>SUMPRODUCT((Брони!$B$2:$B$500=B348)*(Брони!$D$2:$D$500=N348)*((((Брони!$F$2:$F$500="Выдана")*NOW())+((Брони!$F$2:$F$500="Возвращена")*Брони!$E$2:$E$500))&gt;=A348)*Брони!$A$2:$A$500)</f>
        <v/>
      </c>
      <c r="P348" s="19">
        <f>SUMPRODUCT((Брони!$B$2:$B$500=B348)*(Брони!$D$2:$D$500=N348)*(((Брони!$F$2:$F$500="Выдана")+(Брони!$F$2:$F$500="Возвращена"))))</f>
        <v/>
      </c>
      <c r="Q348" s="10" t="n"/>
    </row>
    <row r="349">
      <c r="A349" s="11" t="n"/>
      <c r="B349" s="10" t="n"/>
      <c r="C349" s="10" t="n"/>
      <c r="D349" s="14" t="n"/>
      <c r="E349" s="10" t="n"/>
      <c r="F349" s="20">
        <f>IF(OR(A349="",B349=""),"",IF(OR(NOT(ISNUMBER(A349)),ISERROR(N349+O349+P349)),"Проверьте даты",IF(AND(N349&gt;0,P349&gt;1),"Дубль",IF(AND(N349&gt;0,O349&gt;0),O349,"Вне аренды"))))</f>
        <v/>
      </c>
      <c r="G349" s="12">
        <f>IF(ISNUMBER(F349),IFERROR(INDEX(Брони!$C$2:$C$500,MATCH(F349,Брони!$A$2:$A$500,0)),""),"")</f>
        <v/>
      </c>
      <c r="H349" s="10" t="n"/>
      <c r="I349" s="18" t="n"/>
      <c r="J349" s="12">
        <f>IF(AND(ISNUMBER(F349),I349&lt;&gt;""),IFERROR(IF(AND(INDEX(Брони!$F$2:$F$500,MATCH(F349,Брони!$A$2:$A$500,0))="Возвращена",I349&gt;INDEX(Брони!$E$2:$E$500,MATCH(F349,Брони!$A$2:$A$500,0))),"Да",""),""),"")</f>
        <v/>
      </c>
      <c r="K349" s="10" t="n"/>
      <c r="L349" s="14" t="n"/>
      <c r="M349" s="15">
        <f>IF(OR(A349="",B349=""),"",IF(AND(ISNUMBER(F349),H349&lt;&gt;"Компания"),D349+L349,0))</f>
        <v/>
      </c>
      <c r="N349" s="21">
        <f>SUMPRODUCT(MAX((Брони!$B$2:$B$500=B349)*((Брони!$F$2:$F$500="Выдана")+(Брони!$F$2:$F$500="Возвращена"))*(Брони!$D$2:$D$500&lt;=A349)*Брони!$D$2:$D$500))</f>
        <v/>
      </c>
      <c r="O349" s="19">
        <f>SUMPRODUCT((Брони!$B$2:$B$500=B349)*(Брони!$D$2:$D$500=N349)*((((Брони!$F$2:$F$500="Выдана")*NOW())+((Брони!$F$2:$F$500="Возвращена")*Брони!$E$2:$E$500))&gt;=A349)*Брони!$A$2:$A$500)</f>
        <v/>
      </c>
      <c r="P349" s="19">
        <f>SUMPRODUCT((Брони!$B$2:$B$500=B349)*(Брони!$D$2:$D$500=N349)*(((Брони!$F$2:$F$500="Выдана")+(Брони!$F$2:$F$500="Возвращена"))))</f>
        <v/>
      </c>
      <c r="Q349" s="10" t="n"/>
    </row>
    <row r="350">
      <c r="A350" s="11" t="n"/>
      <c r="B350" s="10" t="n"/>
      <c r="C350" s="10" t="n"/>
      <c r="D350" s="14" t="n"/>
      <c r="E350" s="10" t="n"/>
      <c r="F350" s="20">
        <f>IF(OR(A350="",B350=""),"",IF(OR(NOT(ISNUMBER(A350)),ISERROR(N350+O350+P350)),"Проверьте даты",IF(AND(N350&gt;0,P350&gt;1),"Дубль",IF(AND(N350&gt;0,O350&gt;0),O350,"Вне аренды"))))</f>
        <v/>
      </c>
      <c r="G350" s="12">
        <f>IF(ISNUMBER(F350),IFERROR(INDEX(Брони!$C$2:$C$500,MATCH(F350,Брони!$A$2:$A$500,0)),""),"")</f>
        <v/>
      </c>
      <c r="H350" s="10" t="n"/>
      <c r="I350" s="18" t="n"/>
      <c r="J350" s="12">
        <f>IF(AND(ISNUMBER(F350),I350&lt;&gt;""),IFERROR(IF(AND(INDEX(Брони!$F$2:$F$500,MATCH(F350,Брони!$A$2:$A$500,0))="Возвращена",I350&gt;INDEX(Брони!$E$2:$E$500,MATCH(F350,Брони!$A$2:$A$500,0))),"Да",""),""),"")</f>
        <v/>
      </c>
      <c r="K350" s="10" t="n"/>
      <c r="L350" s="14" t="n"/>
      <c r="M350" s="15">
        <f>IF(OR(A350="",B350=""),"",IF(AND(ISNUMBER(F350),H350&lt;&gt;"Компания"),D350+L350,0))</f>
        <v/>
      </c>
      <c r="N350" s="21">
        <f>SUMPRODUCT(MAX((Брони!$B$2:$B$500=B350)*((Брони!$F$2:$F$500="Выдана")+(Брони!$F$2:$F$500="Возвращена"))*(Брони!$D$2:$D$500&lt;=A350)*Брони!$D$2:$D$500))</f>
        <v/>
      </c>
      <c r="O350" s="19">
        <f>SUMPRODUCT((Брони!$B$2:$B$500=B350)*(Брони!$D$2:$D$500=N350)*((((Брони!$F$2:$F$500="Выдана")*NOW())+((Брони!$F$2:$F$500="Возвращена")*Брони!$E$2:$E$500))&gt;=A350)*Брони!$A$2:$A$500)</f>
        <v/>
      </c>
      <c r="P350" s="19">
        <f>SUMPRODUCT((Брони!$B$2:$B$500=B350)*(Брони!$D$2:$D$500=N350)*(((Брони!$F$2:$F$500="Выдана")+(Брони!$F$2:$F$500="Возвращена"))))</f>
        <v/>
      </c>
      <c r="Q350" s="10" t="n"/>
    </row>
    <row r="351">
      <c r="A351" s="11" t="n"/>
      <c r="B351" s="10" t="n"/>
      <c r="C351" s="10" t="n"/>
      <c r="D351" s="14" t="n"/>
      <c r="E351" s="10" t="n"/>
      <c r="F351" s="20">
        <f>IF(OR(A351="",B351=""),"",IF(OR(NOT(ISNUMBER(A351)),ISERROR(N351+O351+P351)),"Проверьте даты",IF(AND(N351&gt;0,P351&gt;1),"Дубль",IF(AND(N351&gt;0,O351&gt;0),O351,"Вне аренды"))))</f>
        <v/>
      </c>
      <c r="G351" s="12">
        <f>IF(ISNUMBER(F351),IFERROR(INDEX(Брони!$C$2:$C$500,MATCH(F351,Брони!$A$2:$A$500,0)),""),"")</f>
        <v/>
      </c>
      <c r="H351" s="10" t="n"/>
      <c r="I351" s="18" t="n"/>
      <c r="J351" s="12">
        <f>IF(AND(ISNUMBER(F351),I351&lt;&gt;""),IFERROR(IF(AND(INDEX(Брони!$F$2:$F$500,MATCH(F351,Брони!$A$2:$A$500,0))="Возвращена",I351&gt;INDEX(Брони!$E$2:$E$500,MATCH(F351,Брони!$A$2:$A$500,0))),"Да",""),""),"")</f>
        <v/>
      </c>
      <c r="K351" s="10" t="n"/>
      <c r="L351" s="14" t="n"/>
      <c r="M351" s="15">
        <f>IF(OR(A351="",B351=""),"",IF(AND(ISNUMBER(F351),H351&lt;&gt;"Компания"),D351+L351,0))</f>
        <v/>
      </c>
      <c r="N351" s="21">
        <f>SUMPRODUCT(MAX((Брони!$B$2:$B$500=B351)*((Брони!$F$2:$F$500="Выдана")+(Брони!$F$2:$F$500="Возвращена"))*(Брони!$D$2:$D$500&lt;=A351)*Брони!$D$2:$D$500))</f>
        <v/>
      </c>
      <c r="O351" s="19">
        <f>SUMPRODUCT((Брони!$B$2:$B$500=B351)*(Брони!$D$2:$D$500=N351)*((((Брони!$F$2:$F$500="Выдана")*NOW())+((Брони!$F$2:$F$500="Возвращена")*Брони!$E$2:$E$500))&gt;=A351)*Брони!$A$2:$A$500)</f>
        <v/>
      </c>
      <c r="P351" s="19">
        <f>SUMPRODUCT((Брони!$B$2:$B$500=B351)*(Брони!$D$2:$D$500=N351)*(((Брони!$F$2:$F$500="Выдана")+(Брони!$F$2:$F$500="Возвращена"))))</f>
        <v/>
      </c>
      <c r="Q351" s="10" t="n"/>
    </row>
    <row r="352">
      <c r="A352" s="11" t="n"/>
      <c r="B352" s="10" t="n"/>
      <c r="C352" s="10" t="n"/>
      <c r="D352" s="14" t="n"/>
      <c r="E352" s="10" t="n"/>
      <c r="F352" s="20">
        <f>IF(OR(A352="",B352=""),"",IF(OR(NOT(ISNUMBER(A352)),ISERROR(N352+O352+P352)),"Проверьте даты",IF(AND(N352&gt;0,P352&gt;1),"Дубль",IF(AND(N352&gt;0,O352&gt;0),O352,"Вне аренды"))))</f>
        <v/>
      </c>
      <c r="G352" s="12">
        <f>IF(ISNUMBER(F352),IFERROR(INDEX(Брони!$C$2:$C$500,MATCH(F352,Брони!$A$2:$A$500,0)),""),"")</f>
        <v/>
      </c>
      <c r="H352" s="10" t="n"/>
      <c r="I352" s="18" t="n"/>
      <c r="J352" s="12">
        <f>IF(AND(ISNUMBER(F352),I352&lt;&gt;""),IFERROR(IF(AND(INDEX(Брони!$F$2:$F$500,MATCH(F352,Брони!$A$2:$A$500,0))="Возвращена",I352&gt;INDEX(Брони!$E$2:$E$500,MATCH(F352,Брони!$A$2:$A$500,0))),"Да",""),""),"")</f>
        <v/>
      </c>
      <c r="K352" s="10" t="n"/>
      <c r="L352" s="14" t="n"/>
      <c r="M352" s="15">
        <f>IF(OR(A352="",B352=""),"",IF(AND(ISNUMBER(F352),H352&lt;&gt;"Компания"),D352+L352,0))</f>
        <v/>
      </c>
      <c r="N352" s="21">
        <f>SUMPRODUCT(MAX((Брони!$B$2:$B$500=B352)*((Брони!$F$2:$F$500="Выдана")+(Брони!$F$2:$F$500="Возвращена"))*(Брони!$D$2:$D$500&lt;=A352)*Брони!$D$2:$D$500))</f>
        <v/>
      </c>
      <c r="O352" s="19">
        <f>SUMPRODUCT((Брони!$B$2:$B$500=B352)*(Брони!$D$2:$D$500=N352)*((((Брони!$F$2:$F$500="Выдана")*NOW())+((Брони!$F$2:$F$500="Возвращена")*Брони!$E$2:$E$500))&gt;=A352)*Брони!$A$2:$A$500)</f>
        <v/>
      </c>
      <c r="P352" s="19">
        <f>SUMPRODUCT((Брони!$B$2:$B$500=B352)*(Брони!$D$2:$D$500=N352)*(((Брони!$F$2:$F$500="Выдана")+(Брони!$F$2:$F$500="Возвращена"))))</f>
        <v/>
      </c>
      <c r="Q352" s="10" t="n"/>
    </row>
    <row r="353">
      <c r="A353" s="11" t="n"/>
      <c r="B353" s="10" t="n"/>
      <c r="C353" s="10" t="n"/>
      <c r="D353" s="14" t="n"/>
      <c r="E353" s="10" t="n"/>
      <c r="F353" s="20">
        <f>IF(OR(A353="",B353=""),"",IF(OR(NOT(ISNUMBER(A353)),ISERROR(N353+O353+P353)),"Проверьте даты",IF(AND(N353&gt;0,P353&gt;1),"Дубль",IF(AND(N353&gt;0,O353&gt;0),O353,"Вне аренды"))))</f>
        <v/>
      </c>
      <c r="G353" s="12">
        <f>IF(ISNUMBER(F353),IFERROR(INDEX(Брони!$C$2:$C$500,MATCH(F353,Брони!$A$2:$A$500,0)),""),"")</f>
        <v/>
      </c>
      <c r="H353" s="10" t="n"/>
      <c r="I353" s="18" t="n"/>
      <c r="J353" s="12">
        <f>IF(AND(ISNUMBER(F353),I353&lt;&gt;""),IFERROR(IF(AND(INDEX(Брони!$F$2:$F$500,MATCH(F353,Брони!$A$2:$A$500,0))="Возвращена",I353&gt;INDEX(Брони!$E$2:$E$500,MATCH(F353,Брони!$A$2:$A$500,0))),"Да",""),""),"")</f>
        <v/>
      </c>
      <c r="K353" s="10" t="n"/>
      <c r="L353" s="14" t="n"/>
      <c r="M353" s="15">
        <f>IF(OR(A353="",B353=""),"",IF(AND(ISNUMBER(F353),H353&lt;&gt;"Компания"),D353+L353,0))</f>
        <v/>
      </c>
      <c r="N353" s="21">
        <f>SUMPRODUCT(MAX((Брони!$B$2:$B$500=B353)*((Брони!$F$2:$F$500="Выдана")+(Брони!$F$2:$F$500="Возвращена"))*(Брони!$D$2:$D$500&lt;=A353)*Брони!$D$2:$D$500))</f>
        <v/>
      </c>
      <c r="O353" s="19">
        <f>SUMPRODUCT((Брони!$B$2:$B$500=B353)*(Брони!$D$2:$D$500=N353)*((((Брони!$F$2:$F$500="Выдана")*NOW())+((Брони!$F$2:$F$500="Возвращена")*Брони!$E$2:$E$500))&gt;=A353)*Брони!$A$2:$A$500)</f>
        <v/>
      </c>
      <c r="P353" s="19">
        <f>SUMPRODUCT((Брони!$B$2:$B$500=B353)*(Брони!$D$2:$D$500=N353)*(((Брони!$F$2:$F$500="Выдана")+(Брони!$F$2:$F$500="Возвращена"))))</f>
        <v/>
      </c>
      <c r="Q353" s="10" t="n"/>
    </row>
    <row r="354">
      <c r="A354" s="11" t="n"/>
      <c r="B354" s="10" t="n"/>
      <c r="C354" s="10" t="n"/>
      <c r="D354" s="14" t="n"/>
      <c r="E354" s="10" t="n"/>
      <c r="F354" s="20">
        <f>IF(OR(A354="",B354=""),"",IF(OR(NOT(ISNUMBER(A354)),ISERROR(N354+O354+P354)),"Проверьте даты",IF(AND(N354&gt;0,P354&gt;1),"Дубль",IF(AND(N354&gt;0,O354&gt;0),O354,"Вне аренды"))))</f>
        <v/>
      </c>
      <c r="G354" s="12">
        <f>IF(ISNUMBER(F354),IFERROR(INDEX(Брони!$C$2:$C$500,MATCH(F354,Брони!$A$2:$A$500,0)),""),"")</f>
        <v/>
      </c>
      <c r="H354" s="10" t="n"/>
      <c r="I354" s="18" t="n"/>
      <c r="J354" s="12">
        <f>IF(AND(ISNUMBER(F354),I354&lt;&gt;""),IFERROR(IF(AND(INDEX(Брони!$F$2:$F$500,MATCH(F354,Брони!$A$2:$A$500,0))="Возвращена",I354&gt;INDEX(Брони!$E$2:$E$500,MATCH(F354,Брони!$A$2:$A$500,0))),"Да",""),""),"")</f>
        <v/>
      </c>
      <c r="K354" s="10" t="n"/>
      <c r="L354" s="14" t="n"/>
      <c r="M354" s="15">
        <f>IF(OR(A354="",B354=""),"",IF(AND(ISNUMBER(F354),H354&lt;&gt;"Компания"),D354+L354,0))</f>
        <v/>
      </c>
      <c r="N354" s="21">
        <f>SUMPRODUCT(MAX((Брони!$B$2:$B$500=B354)*((Брони!$F$2:$F$500="Выдана")+(Брони!$F$2:$F$500="Возвращена"))*(Брони!$D$2:$D$500&lt;=A354)*Брони!$D$2:$D$500))</f>
        <v/>
      </c>
      <c r="O354" s="19">
        <f>SUMPRODUCT((Брони!$B$2:$B$500=B354)*(Брони!$D$2:$D$500=N354)*((((Брони!$F$2:$F$500="Выдана")*NOW())+((Брони!$F$2:$F$500="Возвращена")*Брони!$E$2:$E$500))&gt;=A354)*Брони!$A$2:$A$500)</f>
        <v/>
      </c>
      <c r="P354" s="19">
        <f>SUMPRODUCT((Брони!$B$2:$B$500=B354)*(Брони!$D$2:$D$500=N354)*(((Брони!$F$2:$F$500="Выдана")+(Брони!$F$2:$F$500="Возвращена"))))</f>
        <v/>
      </c>
      <c r="Q354" s="10" t="n"/>
    </row>
    <row r="355">
      <c r="A355" s="11" t="n"/>
      <c r="B355" s="10" t="n"/>
      <c r="C355" s="10" t="n"/>
      <c r="D355" s="14" t="n"/>
      <c r="E355" s="10" t="n"/>
      <c r="F355" s="20">
        <f>IF(OR(A355="",B355=""),"",IF(OR(NOT(ISNUMBER(A355)),ISERROR(N355+O355+P355)),"Проверьте даты",IF(AND(N355&gt;0,P355&gt;1),"Дубль",IF(AND(N355&gt;0,O355&gt;0),O355,"Вне аренды"))))</f>
        <v/>
      </c>
      <c r="G355" s="12">
        <f>IF(ISNUMBER(F355),IFERROR(INDEX(Брони!$C$2:$C$500,MATCH(F355,Брони!$A$2:$A$500,0)),""),"")</f>
        <v/>
      </c>
      <c r="H355" s="10" t="n"/>
      <c r="I355" s="18" t="n"/>
      <c r="J355" s="12">
        <f>IF(AND(ISNUMBER(F355),I355&lt;&gt;""),IFERROR(IF(AND(INDEX(Брони!$F$2:$F$500,MATCH(F355,Брони!$A$2:$A$500,0))="Возвращена",I355&gt;INDEX(Брони!$E$2:$E$500,MATCH(F355,Брони!$A$2:$A$500,0))),"Да",""),""),"")</f>
        <v/>
      </c>
      <c r="K355" s="10" t="n"/>
      <c r="L355" s="14" t="n"/>
      <c r="M355" s="15">
        <f>IF(OR(A355="",B355=""),"",IF(AND(ISNUMBER(F355),H355&lt;&gt;"Компания"),D355+L355,0))</f>
        <v/>
      </c>
      <c r="N355" s="21">
        <f>SUMPRODUCT(MAX((Брони!$B$2:$B$500=B355)*((Брони!$F$2:$F$500="Выдана")+(Брони!$F$2:$F$500="Возвращена"))*(Брони!$D$2:$D$500&lt;=A355)*Брони!$D$2:$D$500))</f>
        <v/>
      </c>
      <c r="O355" s="19">
        <f>SUMPRODUCT((Брони!$B$2:$B$500=B355)*(Брони!$D$2:$D$500=N355)*((((Брони!$F$2:$F$500="Выдана")*NOW())+((Брони!$F$2:$F$500="Возвращена")*Брони!$E$2:$E$500))&gt;=A355)*Брони!$A$2:$A$500)</f>
        <v/>
      </c>
      <c r="P355" s="19">
        <f>SUMPRODUCT((Брони!$B$2:$B$500=B355)*(Брони!$D$2:$D$500=N355)*(((Брони!$F$2:$F$500="Выдана")+(Брони!$F$2:$F$500="Возвращена"))))</f>
        <v/>
      </c>
      <c r="Q355" s="10" t="n"/>
    </row>
    <row r="356">
      <c r="A356" s="11" t="n"/>
      <c r="B356" s="10" t="n"/>
      <c r="C356" s="10" t="n"/>
      <c r="D356" s="14" t="n"/>
      <c r="E356" s="10" t="n"/>
      <c r="F356" s="20">
        <f>IF(OR(A356="",B356=""),"",IF(OR(NOT(ISNUMBER(A356)),ISERROR(N356+O356+P356)),"Проверьте даты",IF(AND(N356&gt;0,P356&gt;1),"Дубль",IF(AND(N356&gt;0,O356&gt;0),O356,"Вне аренды"))))</f>
        <v/>
      </c>
      <c r="G356" s="12">
        <f>IF(ISNUMBER(F356),IFERROR(INDEX(Брони!$C$2:$C$500,MATCH(F356,Брони!$A$2:$A$500,0)),""),"")</f>
        <v/>
      </c>
      <c r="H356" s="10" t="n"/>
      <c r="I356" s="18" t="n"/>
      <c r="J356" s="12">
        <f>IF(AND(ISNUMBER(F356),I356&lt;&gt;""),IFERROR(IF(AND(INDEX(Брони!$F$2:$F$500,MATCH(F356,Брони!$A$2:$A$500,0))="Возвращена",I356&gt;INDEX(Брони!$E$2:$E$500,MATCH(F356,Брони!$A$2:$A$500,0))),"Да",""),""),"")</f>
        <v/>
      </c>
      <c r="K356" s="10" t="n"/>
      <c r="L356" s="14" t="n"/>
      <c r="M356" s="15">
        <f>IF(OR(A356="",B356=""),"",IF(AND(ISNUMBER(F356),H356&lt;&gt;"Компания"),D356+L356,0))</f>
        <v/>
      </c>
      <c r="N356" s="21">
        <f>SUMPRODUCT(MAX((Брони!$B$2:$B$500=B356)*((Брони!$F$2:$F$500="Выдана")+(Брони!$F$2:$F$500="Возвращена"))*(Брони!$D$2:$D$500&lt;=A356)*Брони!$D$2:$D$500))</f>
        <v/>
      </c>
      <c r="O356" s="19">
        <f>SUMPRODUCT((Брони!$B$2:$B$500=B356)*(Брони!$D$2:$D$500=N356)*((((Брони!$F$2:$F$500="Выдана")*NOW())+((Брони!$F$2:$F$500="Возвращена")*Брони!$E$2:$E$500))&gt;=A356)*Брони!$A$2:$A$500)</f>
        <v/>
      </c>
      <c r="P356" s="19">
        <f>SUMPRODUCT((Брони!$B$2:$B$500=B356)*(Брони!$D$2:$D$500=N356)*(((Брони!$F$2:$F$500="Выдана")+(Брони!$F$2:$F$500="Возвращена"))))</f>
        <v/>
      </c>
      <c r="Q356" s="10" t="n"/>
    </row>
    <row r="357">
      <c r="A357" s="11" t="n"/>
      <c r="B357" s="10" t="n"/>
      <c r="C357" s="10" t="n"/>
      <c r="D357" s="14" t="n"/>
      <c r="E357" s="10" t="n"/>
      <c r="F357" s="20">
        <f>IF(OR(A357="",B357=""),"",IF(OR(NOT(ISNUMBER(A357)),ISERROR(N357+O357+P357)),"Проверьте даты",IF(AND(N357&gt;0,P357&gt;1),"Дубль",IF(AND(N357&gt;0,O357&gt;0),O357,"Вне аренды"))))</f>
        <v/>
      </c>
      <c r="G357" s="12">
        <f>IF(ISNUMBER(F357),IFERROR(INDEX(Брони!$C$2:$C$500,MATCH(F357,Брони!$A$2:$A$500,0)),""),"")</f>
        <v/>
      </c>
      <c r="H357" s="10" t="n"/>
      <c r="I357" s="18" t="n"/>
      <c r="J357" s="12">
        <f>IF(AND(ISNUMBER(F357),I357&lt;&gt;""),IFERROR(IF(AND(INDEX(Брони!$F$2:$F$500,MATCH(F357,Брони!$A$2:$A$500,0))="Возвращена",I357&gt;INDEX(Брони!$E$2:$E$500,MATCH(F357,Брони!$A$2:$A$500,0))),"Да",""),""),"")</f>
        <v/>
      </c>
      <c r="K357" s="10" t="n"/>
      <c r="L357" s="14" t="n"/>
      <c r="M357" s="15">
        <f>IF(OR(A357="",B357=""),"",IF(AND(ISNUMBER(F357),H357&lt;&gt;"Компания"),D357+L357,0))</f>
        <v/>
      </c>
      <c r="N357" s="21">
        <f>SUMPRODUCT(MAX((Брони!$B$2:$B$500=B357)*((Брони!$F$2:$F$500="Выдана")+(Брони!$F$2:$F$500="Возвращена"))*(Брони!$D$2:$D$500&lt;=A357)*Брони!$D$2:$D$500))</f>
        <v/>
      </c>
      <c r="O357" s="19">
        <f>SUMPRODUCT((Брони!$B$2:$B$500=B357)*(Брони!$D$2:$D$500=N357)*((((Брони!$F$2:$F$500="Выдана")*NOW())+((Брони!$F$2:$F$500="Возвращена")*Брони!$E$2:$E$500))&gt;=A357)*Брони!$A$2:$A$500)</f>
        <v/>
      </c>
      <c r="P357" s="19">
        <f>SUMPRODUCT((Брони!$B$2:$B$500=B357)*(Брони!$D$2:$D$500=N357)*(((Брони!$F$2:$F$500="Выдана")+(Брони!$F$2:$F$500="Возвращена"))))</f>
        <v/>
      </c>
      <c r="Q357" s="10" t="n"/>
    </row>
    <row r="358">
      <c r="A358" s="11" t="n"/>
      <c r="B358" s="10" t="n"/>
      <c r="C358" s="10" t="n"/>
      <c r="D358" s="14" t="n"/>
      <c r="E358" s="10" t="n"/>
      <c r="F358" s="20">
        <f>IF(OR(A358="",B358=""),"",IF(OR(NOT(ISNUMBER(A358)),ISERROR(N358+O358+P358)),"Проверьте даты",IF(AND(N358&gt;0,P358&gt;1),"Дубль",IF(AND(N358&gt;0,O358&gt;0),O358,"Вне аренды"))))</f>
        <v/>
      </c>
      <c r="G358" s="12">
        <f>IF(ISNUMBER(F358),IFERROR(INDEX(Брони!$C$2:$C$500,MATCH(F358,Брони!$A$2:$A$500,0)),""),"")</f>
        <v/>
      </c>
      <c r="H358" s="10" t="n"/>
      <c r="I358" s="18" t="n"/>
      <c r="J358" s="12">
        <f>IF(AND(ISNUMBER(F358),I358&lt;&gt;""),IFERROR(IF(AND(INDEX(Брони!$F$2:$F$500,MATCH(F358,Брони!$A$2:$A$500,0))="Возвращена",I358&gt;INDEX(Брони!$E$2:$E$500,MATCH(F358,Брони!$A$2:$A$500,0))),"Да",""),""),"")</f>
        <v/>
      </c>
      <c r="K358" s="10" t="n"/>
      <c r="L358" s="14" t="n"/>
      <c r="M358" s="15">
        <f>IF(OR(A358="",B358=""),"",IF(AND(ISNUMBER(F358),H358&lt;&gt;"Компания"),D358+L358,0))</f>
        <v/>
      </c>
      <c r="N358" s="21">
        <f>SUMPRODUCT(MAX((Брони!$B$2:$B$500=B358)*((Брони!$F$2:$F$500="Выдана")+(Брони!$F$2:$F$500="Возвращена"))*(Брони!$D$2:$D$500&lt;=A358)*Брони!$D$2:$D$500))</f>
        <v/>
      </c>
      <c r="O358" s="19">
        <f>SUMPRODUCT((Брони!$B$2:$B$500=B358)*(Брони!$D$2:$D$500=N358)*((((Брони!$F$2:$F$500="Выдана")*NOW())+((Брони!$F$2:$F$500="Возвращена")*Брони!$E$2:$E$500))&gt;=A358)*Брони!$A$2:$A$500)</f>
        <v/>
      </c>
      <c r="P358" s="19">
        <f>SUMPRODUCT((Брони!$B$2:$B$500=B358)*(Брони!$D$2:$D$500=N358)*(((Брони!$F$2:$F$500="Выдана")+(Брони!$F$2:$F$500="Возвращена"))))</f>
        <v/>
      </c>
      <c r="Q358" s="10" t="n"/>
    </row>
    <row r="359">
      <c r="A359" s="11" t="n"/>
      <c r="B359" s="10" t="n"/>
      <c r="C359" s="10" t="n"/>
      <c r="D359" s="14" t="n"/>
      <c r="E359" s="10" t="n"/>
      <c r="F359" s="20">
        <f>IF(OR(A359="",B359=""),"",IF(OR(NOT(ISNUMBER(A359)),ISERROR(N359+O359+P359)),"Проверьте даты",IF(AND(N359&gt;0,P359&gt;1),"Дубль",IF(AND(N359&gt;0,O359&gt;0),O359,"Вне аренды"))))</f>
        <v/>
      </c>
      <c r="G359" s="12">
        <f>IF(ISNUMBER(F359),IFERROR(INDEX(Брони!$C$2:$C$500,MATCH(F359,Брони!$A$2:$A$500,0)),""),"")</f>
        <v/>
      </c>
      <c r="H359" s="10" t="n"/>
      <c r="I359" s="18" t="n"/>
      <c r="J359" s="12">
        <f>IF(AND(ISNUMBER(F359),I359&lt;&gt;""),IFERROR(IF(AND(INDEX(Брони!$F$2:$F$500,MATCH(F359,Брони!$A$2:$A$500,0))="Возвращена",I359&gt;INDEX(Брони!$E$2:$E$500,MATCH(F359,Брони!$A$2:$A$500,0))),"Да",""),""),"")</f>
        <v/>
      </c>
      <c r="K359" s="10" t="n"/>
      <c r="L359" s="14" t="n"/>
      <c r="M359" s="15">
        <f>IF(OR(A359="",B359=""),"",IF(AND(ISNUMBER(F359),H359&lt;&gt;"Компания"),D359+L359,0))</f>
        <v/>
      </c>
      <c r="N359" s="21">
        <f>SUMPRODUCT(MAX((Брони!$B$2:$B$500=B359)*((Брони!$F$2:$F$500="Выдана")+(Брони!$F$2:$F$500="Возвращена"))*(Брони!$D$2:$D$500&lt;=A359)*Брони!$D$2:$D$500))</f>
        <v/>
      </c>
      <c r="O359" s="19">
        <f>SUMPRODUCT((Брони!$B$2:$B$500=B359)*(Брони!$D$2:$D$500=N359)*((((Брони!$F$2:$F$500="Выдана")*NOW())+((Брони!$F$2:$F$500="Возвращена")*Брони!$E$2:$E$500))&gt;=A359)*Брони!$A$2:$A$500)</f>
        <v/>
      </c>
      <c r="P359" s="19">
        <f>SUMPRODUCT((Брони!$B$2:$B$500=B359)*(Брони!$D$2:$D$500=N359)*(((Брони!$F$2:$F$500="Выдана")+(Брони!$F$2:$F$500="Возвращена"))))</f>
        <v/>
      </c>
      <c r="Q359" s="10" t="n"/>
    </row>
    <row r="360">
      <c r="A360" s="11" t="n"/>
      <c r="B360" s="10" t="n"/>
      <c r="C360" s="10" t="n"/>
      <c r="D360" s="14" t="n"/>
      <c r="E360" s="10" t="n"/>
      <c r="F360" s="20">
        <f>IF(OR(A360="",B360=""),"",IF(OR(NOT(ISNUMBER(A360)),ISERROR(N360+O360+P360)),"Проверьте даты",IF(AND(N360&gt;0,P360&gt;1),"Дубль",IF(AND(N360&gt;0,O360&gt;0),O360,"Вне аренды"))))</f>
        <v/>
      </c>
      <c r="G360" s="12">
        <f>IF(ISNUMBER(F360),IFERROR(INDEX(Брони!$C$2:$C$500,MATCH(F360,Брони!$A$2:$A$500,0)),""),"")</f>
        <v/>
      </c>
      <c r="H360" s="10" t="n"/>
      <c r="I360" s="18" t="n"/>
      <c r="J360" s="12">
        <f>IF(AND(ISNUMBER(F360),I360&lt;&gt;""),IFERROR(IF(AND(INDEX(Брони!$F$2:$F$500,MATCH(F360,Брони!$A$2:$A$500,0))="Возвращена",I360&gt;INDEX(Брони!$E$2:$E$500,MATCH(F360,Брони!$A$2:$A$500,0))),"Да",""),""),"")</f>
        <v/>
      </c>
      <c r="K360" s="10" t="n"/>
      <c r="L360" s="14" t="n"/>
      <c r="M360" s="15">
        <f>IF(OR(A360="",B360=""),"",IF(AND(ISNUMBER(F360),H360&lt;&gt;"Компания"),D360+L360,0))</f>
        <v/>
      </c>
      <c r="N360" s="21">
        <f>SUMPRODUCT(MAX((Брони!$B$2:$B$500=B360)*((Брони!$F$2:$F$500="Выдана")+(Брони!$F$2:$F$500="Возвращена"))*(Брони!$D$2:$D$500&lt;=A360)*Брони!$D$2:$D$500))</f>
        <v/>
      </c>
      <c r="O360" s="19">
        <f>SUMPRODUCT((Брони!$B$2:$B$500=B360)*(Брони!$D$2:$D$500=N360)*((((Брони!$F$2:$F$500="Выдана")*NOW())+((Брони!$F$2:$F$500="Возвращена")*Брони!$E$2:$E$500))&gt;=A360)*Брони!$A$2:$A$500)</f>
        <v/>
      </c>
      <c r="P360" s="19">
        <f>SUMPRODUCT((Брони!$B$2:$B$500=B360)*(Брони!$D$2:$D$500=N360)*(((Брони!$F$2:$F$500="Выдана")+(Брони!$F$2:$F$500="Возвращена"))))</f>
        <v/>
      </c>
      <c r="Q360" s="10" t="n"/>
    </row>
    <row r="361">
      <c r="A361" s="11" t="n"/>
      <c r="B361" s="10" t="n"/>
      <c r="C361" s="10" t="n"/>
      <c r="D361" s="14" t="n"/>
      <c r="E361" s="10" t="n"/>
      <c r="F361" s="20">
        <f>IF(OR(A361="",B361=""),"",IF(OR(NOT(ISNUMBER(A361)),ISERROR(N361+O361+P361)),"Проверьте даты",IF(AND(N361&gt;0,P361&gt;1),"Дубль",IF(AND(N361&gt;0,O361&gt;0),O361,"Вне аренды"))))</f>
        <v/>
      </c>
      <c r="G361" s="12">
        <f>IF(ISNUMBER(F361),IFERROR(INDEX(Брони!$C$2:$C$500,MATCH(F361,Брони!$A$2:$A$500,0)),""),"")</f>
        <v/>
      </c>
      <c r="H361" s="10" t="n"/>
      <c r="I361" s="18" t="n"/>
      <c r="J361" s="12">
        <f>IF(AND(ISNUMBER(F361),I361&lt;&gt;""),IFERROR(IF(AND(INDEX(Брони!$F$2:$F$500,MATCH(F361,Брони!$A$2:$A$500,0))="Возвращена",I361&gt;INDEX(Брони!$E$2:$E$500,MATCH(F361,Брони!$A$2:$A$500,0))),"Да",""),""),"")</f>
        <v/>
      </c>
      <c r="K361" s="10" t="n"/>
      <c r="L361" s="14" t="n"/>
      <c r="M361" s="15">
        <f>IF(OR(A361="",B361=""),"",IF(AND(ISNUMBER(F361),H361&lt;&gt;"Компания"),D361+L361,0))</f>
        <v/>
      </c>
      <c r="N361" s="21">
        <f>SUMPRODUCT(MAX((Брони!$B$2:$B$500=B361)*((Брони!$F$2:$F$500="Выдана")+(Брони!$F$2:$F$500="Возвращена"))*(Брони!$D$2:$D$500&lt;=A361)*Брони!$D$2:$D$500))</f>
        <v/>
      </c>
      <c r="O361" s="19">
        <f>SUMPRODUCT((Брони!$B$2:$B$500=B361)*(Брони!$D$2:$D$500=N361)*((((Брони!$F$2:$F$500="Выдана")*NOW())+((Брони!$F$2:$F$500="Возвращена")*Брони!$E$2:$E$500))&gt;=A361)*Брони!$A$2:$A$500)</f>
        <v/>
      </c>
      <c r="P361" s="19">
        <f>SUMPRODUCT((Брони!$B$2:$B$500=B361)*(Брони!$D$2:$D$500=N361)*(((Брони!$F$2:$F$500="Выдана")+(Брони!$F$2:$F$500="Возвращена"))))</f>
        <v/>
      </c>
      <c r="Q361" s="10" t="n"/>
    </row>
    <row r="362">
      <c r="A362" s="11" t="n"/>
      <c r="B362" s="10" t="n"/>
      <c r="C362" s="10" t="n"/>
      <c r="D362" s="14" t="n"/>
      <c r="E362" s="10" t="n"/>
      <c r="F362" s="20">
        <f>IF(OR(A362="",B362=""),"",IF(OR(NOT(ISNUMBER(A362)),ISERROR(N362+O362+P362)),"Проверьте даты",IF(AND(N362&gt;0,P362&gt;1),"Дубль",IF(AND(N362&gt;0,O362&gt;0),O362,"Вне аренды"))))</f>
        <v/>
      </c>
      <c r="G362" s="12">
        <f>IF(ISNUMBER(F362),IFERROR(INDEX(Брони!$C$2:$C$500,MATCH(F362,Брони!$A$2:$A$500,0)),""),"")</f>
        <v/>
      </c>
      <c r="H362" s="10" t="n"/>
      <c r="I362" s="18" t="n"/>
      <c r="J362" s="12">
        <f>IF(AND(ISNUMBER(F362),I362&lt;&gt;""),IFERROR(IF(AND(INDEX(Брони!$F$2:$F$500,MATCH(F362,Брони!$A$2:$A$500,0))="Возвращена",I362&gt;INDEX(Брони!$E$2:$E$500,MATCH(F362,Брони!$A$2:$A$500,0))),"Да",""),""),"")</f>
        <v/>
      </c>
      <c r="K362" s="10" t="n"/>
      <c r="L362" s="14" t="n"/>
      <c r="M362" s="15">
        <f>IF(OR(A362="",B362=""),"",IF(AND(ISNUMBER(F362),H362&lt;&gt;"Компания"),D362+L362,0))</f>
        <v/>
      </c>
      <c r="N362" s="21">
        <f>SUMPRODUCT(MAX((Брони!$B$2:$B$500=B362)*((Брони!$F$2:$F$500="Выдана")+(Брони!$F$2:$F$500="Возвращена"))*(Брони!$D$2:$D$500&lt;=A362)*Брони!$D$2:$D$500))</f>
        <v/>
      </c>
      <c r="O362" s="19">
        <f>SUMPRODUCT((Брони!$B$2:$B$500=B362)*(Брони!$D$2:$D$500=N362)*((((Брони!$F$2:$F$500="Выдана")*NOW())+((Брони!$F$2:$F$500="Возвращена")*Брони!$E$2:$E$500))&gt;=A362)*Брони!$A$2:$A$500)</f>
        <v/>
      </c>
      <c r="P362" s="19">
        <f>SUMPRODUCT((Брони!$B$2:$B$500=B362)*(Брони!$D$2:$D$500=N362)*(((Брони!$F$2:$F$500="Выдана")+(Брони!$F$2:$F$500="Возвращена"))))</f>
        <v/>
      </c>
      <c r="Q362" s="10" t="n"/>
    </row>
    <row r="363">
      <c r="A363" s="11" t="n"/>
      <c r="B363" s="10" t="n"/>
      <c r="C363" s="10" t="n"/>
      <c r="D363" s="14" t="n"/>
      <c r="E363" s="10" t="n"/>
      <c r="F363" s="20">
        <f>IF(OR(A363="",B363=""),"",IF(OR(NOT(ISNUMBER(A363)),ISERROR(N363+O363+P363)),"Проверьте даты",IF(AND(N363&gt;0,P363&gt;1),"Дубль",IF(AND(N363&gt;0,O363&gt;0),O363,"Вне аренды"))))</f>
        <v/>
      </c>
      <c r="G363" s="12">
        <f>IF(ISNUMBER(F363),IFERROR(INDEX(Брони!$C$2:$C$500,MATCH(F363,Брони!$A$2:$A$500,0)),""),"")</f>
        <v/>
      </c>
      <c r="H363" s="10" t="n"/>
      <c r="I363" s="18" t="n"/>
      <c r="J363" s="12">
        <f>IF(AND(ISNUMBER(F363),I363&lt;&gt;""),IFERROR(IF(AND(INDEX(Брони!$F$2:$F$500,MATCH(F363,Брони!$A$2:$A$500,0))="Возвращена",I363&gt;INDEX(Брони!$E$2:$E$500,MATCH(F363,Брони!$A$2:$A$500,0))),"Да",""),""),"")</f>
        <v/>
      </c>
      <c r="K363" s="10" t="n"/>
      <c r="L363" s="14" t="n"/>
      <c r="M363" s="15">
        <f>IF(OR(A363="",B363=""),"",IF(AND(ISNUMBER(F363),H363&lt;&gt;"Компания"),D363+L363,0))</f>
        <v/>
      </c>
      <c r="N363" s="21">
        <f>SUMPRODUCT(MAX((Брони!$B$2:$B$500=B363)*((Брони!$F$2:$F$500="Выдана")+(Брони!$F$2:$F$500="Возвращена"))*(Брони!$D$2:$D$500&lt;=A363)*Брони!$D$2:$D$500))</f>
        <v/>
      </c>
      <c r="O363" s="19">
        <f>SUMPRODUCT((Брони!$B$2:$B$500=B363)*(Брони!$D$2:$D$500=N363)*((((Брони!$F$2:$F$500="Выдана")*NOW())+((Брони!$F$2:$F$500="Возвращена")*Брони!$E$2:$E$500))&gt;=A363)*Брони!$A$2:$A$500)</f>
        <v/>
      </c>
      <c r="P363" s="19">
        <f>SUMPRODUCT((Брони!$B$2:$B$500=B363)*(Брони!$D$2:$D$500=N363)*(((Брони!$F$2:$F$500="Выдана")+(Брони!$F$2:$F$500="Возвращена"))))</f>
        <v/>
      </c>
      <c r="Q363" s="10" t="n"/>
    </row>
    <row r="364">
      <c r="A364" s="11" t="n"/>
      <c r="B364" s="10" t="n"/>
      <c r="C364" s="10" t="n"/>
      <c r="D364" s="14" t="n"/>
      <c r="E364" s="10" t="n"/>
      <c r="F364" s="20">
        <f>IF(OR(A364="",B364=""),"",IF(OR(NOT(ISNUMBER(A364)),ISERROR(N364+O364+P364)),"Проверьте даты",IF(AND(N364&gt;0,P364&gt;1),"Дубль",IF(AND(N364&gt;0,O364&gt;0),O364,"Вне аренды"))))</f>
        <v/>
      </c>
      <c r="G364" s="12">
        <f>IF(ISNUMBER(F364),IFERROR(INDEX(Брони!$C$2:$C$500,MATCH(F364,Брони!$A$2:$A$500,0)),""),"")</f>
        <v/>
      </c>
      <c r="H364" s="10" t="n"/>
      <c r="I364" s="18" t="n"/>
      <c r="J364" s="12">
        <f>IF(AND(ISNUMBER(F364),I364&lt;&gt;""),IFERROR(IF(AND(INDEX(Брони!$F$2:$F$500,MATCH(F364,Брони!$A$2:$A$500,0))="Возвращена",I364&gt;INDEX(Брони!$E$2:$E$500,MATCH(F364,Брони!$A$2:$A$500,0))),"Да",""),""),"")</f>
        <v/>
      </c>
      <c r="K364" s="10" t="n"/>
      <c r="L364" s="14" t="n"/>
      <c r="M364" s="15">
        <f>IF(OR(A364="",B364=""),"",IF(AND(ISNUMBER(F364),H364&lt;&gt;"Компания"),D364+L364,0))</f>
        <v/>
      </c>
      <c r="N364" s="21">
        <f>SUMPRODUCT(MAX((Брони!$B$2:$B$500=B364)*((Брони!$F$2:$F$500="Выдана")+(Брони!$F$2:$F$500="Возвращена"))*(Брони!$D$2:$D$500&lt;=A364)*Брони!$D$2:$D$500))</f>
        <v/>
      </c>
      <c r="O364" s="19">
        <f>SUMPRODUCT((Брони!$B$2:$B$500=B364)*(Брони!$D$2:$D$500=N364)*((((Брони!$F$2:$F$500="Выдана")*NOW())+((Брони!$F$2:$F$500="Возвращена")*Брони!$E$2:$E$500))&gt;=A364)*Брони!$A$2:$A$500)</f>
        <v/>
      </c>
      <c r="P364" s="19">
        <f>SUMPRODUCT((Брони!$B$2:$B$500=B364)*(Брони!$D$2:$D$500=N364)*(((Брони!$F$2:$F$500="Выдана")+(Брони!$F$2:$F$500="Возвращена"))))</f>
        <v/>
      </c>
      <c r="Q364" s="10" t="n"/>
    </row>
    <row r="365">
      <c r="A365" s="11" t="n"/>
      <c r="B365" s="10" t="n"/>
      <c r="C365" s="10" t="n"/>
      <c r="D365" s="14" t="n"/>
      <c r="E365" s="10" t="n"/>
      <c r="F365" s="20">
        <f>IF(OR(A365="",B365=""),"",IF(OR(NOT(ISNUMBER(A365)),ISERROR(N365+O365+P365)),"Проверьте даты",IF(AND(N365&gt;0,P365&gt;1),"Дубль",IF(AND(N365&gt;0,O365&gt;0),O365,"Вне аренды"))))</f>
        <v/>
      </c>
      <c r="G365" s="12">
        <f>IF(ISNUMBER(F365),IFERROR(INDEX(Брони!$C$2:$C$500,MATCH(F365,Брони!$A$2:$A$500,0)),""),"")</f>
        <v/>
      </c>
      <c r="H365" s="10" t="n"/>
      <c r="I365" s="18" t="n"/>
      <c r="J365" s="12">
        <f>IF(AND(ISNUMBER(F365),I365&lt;&gt;""),IFERROR(IF(AND(INDEX(Брони!$F$2:$F$500,MATCH(F365,Брони!$A$2:$A$500,0))="Возвращена",I365&gt;INDEX(Брони!$E$2:$E$500,MATCH(F365,Брони!$A$2:$A$500,0))),"Да",""),""),"")</f>
        <v/>
      </c>
      <c r="K365" s="10" t="n"/>
      <c r="L365" s="14" t="n"/>
      <c r="M365" s="15">
        <f>IF(OR(A365="",B365=""),"",IF(AND(ISNUMBER(F365),H365&lt;&gt;"Компания"),D365+L365,0))</f>
        <v/>
      </c>
      <c r="N365" s="21">
        <f>SUMPRODUCT(MAX((Брони!$B$2:$B$500=B365)*((Брони!$F$2:$F$500="Выдана")+(Брони!$F$2:$F$500="Возвращена"))*(Брони!$D$2:$D$500&lt;=A365)*Брони!$D$2:$D$500))</f>
        <v/>
      </c>
      <c r="O365" s="19">
        <f>SUMPRODUCT((Брони!$B$2:$B$500=B365)*(Брони!$D$2:$D$500=N365)*((((Брони!$F$2:$F$500="Выдана")*NOW())+((Брони!$F$2:$F$500="Возвращена")*Брони!$E$2:$E$500))&gt;=A365)*Брони!$A$2:$A$500)</f>
        <v/>
      </c>
      <c r="P365" s="19">
        <f>SUMPRODUCT((Брони!$B$2:$B$500=B365)*(Брони!$D$2:$D$500=N365)*(((Брони!$F$2:$F$500="Выдана")+(Брони!$F$2:$F$500="Возвращена"))))</f>
        <v/>
      </c>
      <c r="Q365" s="10" t="n"/>
    </row>
    <row r="366">
      <c r="A366" s="11" t="n"/>
      <c r="B366" s="10" t="n"/>
      <c r="C366" s="10" t="n"/>
      <c r="D366" s="14" t="n"/>
      <c r="E366" s="10" t="n"/>
      <c r="F366" s="20">
        <f>IF(OR(A366="",B366=""),"",IF(OR(NOT(ISNUMBER(A366)),ISERROR(N366+O366+P366)),"Проверьте даты",IF(AND(N366&gt;0,P366&gt;1),"Дубль",IF(AND(N366&gt;0,O366&gt;0),O366,"Вне аренды"))))</f>
        <v/>
      </c>
      <c r="G366" s="12">
        <f>IF(ISNUMBER(F366),IFERROR(INDEX(Брони!$C$2:$C$500,MATCH(F366,Брони!$A$2:$A$500,0)),""),"")</f>
        <v/>
      </c>
      <c r="H366" s="10" t="n"/>
      <c r="I366" s="18" t="n"/>
      <c r="J366" s="12">
        <f>IF(AND(ISNUMBER(F366),I366&lt;&gt;""),IFERROR(IF(AND(INDEX(Брони!$F$2:$F$500,MATCH(F366,Брони!$A$2:$A$500,0))="Возвращена",I366&gt;INDEX(Брони!$E$2:$E$500,MATCH(F366,Брони!$A$2:$A$500,0))),"Да",""),""),"")</f>
        <v/>
      </c>
      <c r="K366" s="10" t="n"/>
      <c r="L366" s="14" t="n"/>
      <c r="M366" s="15">
        <f>IF(OR(A366="",B366=""),"",IF(AND(ISNUMBER(F366),H366&lt;&gt;"Компания"),D366+L366,0))</f>
        <v/>
      </c>
      <c r="N366" s="21">
        <f>SUMPRODUCT(MAX((Брони!$B$2:$B$500=B366)*((Брони!$F$2:$F$500="Выдана")+(Брони!$F$2:$F$500="Возвращена"))*(Брони!$D$2:$D$500&lt;=A366)*Брони!$D$2:$D$500))</f>
        <v/>
      </c>
      <c r="O366" s="19">
        <f>SUMPRODUCT((Брони!$B$2:$B$500=B366)*(Брони!$D$2:$D$500=N366)*((((Брони!$F$2:$F$500="Выдана")*NOW())+((Брони!$F$2:$F$500="Возвращена")*Брони!$E$2:$E$500))&gt;=A366)*Брони!$A$2:$A$500)</f>
        <v/>
      </c>
      <c r="P366" s="19">
        <f>SUMPRODUCT((Брони!$B$2:$B$500=B366)*(Брони!$D$2:$D$500=N366)*(((Брони!$F$2:$F$500="Выдана")+(Брони!$F$2:$F$500="Возвращена"))))</f>
        <v/>
      </c>
      <c r="Q366" s="10" t="n"/>
    </row>
    <row r="367">
      <c r="A367" s="11" t="n"/>
      <c r="B367" s="10" t="n"/>
      <c r="C367" s="10" t="n"/>
      <c r="D367" s="14" t="n"/>
      <c r="E367" s="10" t="n"/>
      <c r="F367" s="20">
        <f>IF(OR(A367="",B367=""),"",IF(OR(NOT(ISNUMBER(A367)),ISERROR(N367+O367+P367)),"Проверьте даты",IF(AND(N367&gt;0,P367&gt;1),"Дубль",IF(AND(N367&gt;0,O367&gt;0),O367,"Вне аренды"))))</f>
        <v/>
      </c>
      <c r="G367" s="12">
        <f>IF(ISNUMBER(F367),IFERROR(INDEX(Брони!$C$2:$C$500,MATCH(F367,Брони!$A$2:$A$500,0)),""),"")</f>
        <v/>
      </c>
      <c r="H367" s="10" t="n"/>
      <c r="I367" s="18" t="n"/>
      <c r="J367" s="12">
        <f>IF(AND(ISNUMBER(F367),I367&lt;&gt;""),IFERROR(IF(AND(INDEX(Брони!$F$2:$F$500,MATCH(F367,Брони!$A$2:$A$500,0))="Возвращена",I367&gt;INDEX(Брони!$E$2:$E$500,MATCH(F367,Брони!$A$2:$A$500,0))),"Да",""),""),"")</f>
        <v/>
      </c>
      <c r="K367" s="10" t="n"/>
      <c r="L367" s="14" t="n"/>
      <c r="M367" s="15">
        <f>IF(OR(A367="",B367=""),"",IF(AND(ISNUMBER(F367),H367&lt;&gt;"Компания"),D367+L367,0))</f>
        <v/>
      </c>
      <c r="N367" s="21">
        <f>SUMPRODUCT(MAX((Брони!$B$2:$B$500=B367)*((Брони!$F$2:$F$500="Выдана")+(Брони!$F$2:$F$500="Возвращена"))*(Брони!$D$2:$D$500&lt;=A367)*Брони!$D$2:$D$500))</f>
        <v/>
      </c>
      <c r="O367" s="19">
        <f>SUMPRODUCT((Брони!$B$2:$B$500=B367)*(Брони!$D$2:$D$500=N367)*((((Брони!$F$2:$F$500="Выдана")*NOW())+((Брони!$F$2:$F$500="Возвращена")*Брони!$E$2:$E$500))&gt;=A367)*Брони!$A$2:$A$500)</f>
        <v/>
      </c>
      <c r="P367" s="19">
        <f>SUMPRODUCT((Брони!$B$2:$B$500=B367)*(Брони!$D$2:$D$500=N367)*(((Брони!$F$2:$F$500="Выдана")+(Брони!$F$2:$F$500="Возвращена"))))</f>
        <v/>
      </c>
      <c r="Q367" s="10" t="n"/>
    </row>
    <row r="368">
      <c r="A368" s="11" t="n"/>
      <c r="B368" s="10" t="n"/>
      <c r="C368" s="10" t="n"/>
      <c r="D368" s="14" t="n"/>
      <c r="E368" s="10" t="n"/>
      <c r="F368" s="20">
        <f>IF(OR(A368="",B368=""),"",IF(OR(NOT(ISNUMBER(A368)),ISERROR(N368+O368+P368)),"Проверьте даты",IF(AND(N368&gt;0,P368&gt;1),"Дубль",IF(AND(N368&gt;0,O368&gt;0),O368,"Вне аренды"))))</f>
        <v/>
      </c>
      <c r="G368" s="12">
        <f>IF(ISNUMBER(F368),IFERROR(INDEX(Брони!$C$2:$C$500,MATCH(F368,Брони!$A$2:$A$500,0)),""),"")</f>
        <v/>
      </c>
      <c r="H368" s="10" t="n"/>
      <c r="I368" s="18" t="n"/>
      <c r="J368" s="12">
        <f>IF(AND(ISNUMBER(F368),I368&lt;&gt;""),IFERROR(IF(AND(INDEX(Брони!$F$2:$F$500,MATCH(F368,Брони!$A$2:$A$500,0))="Возвращена",I368&gt;INDEX(Брони!$E$2:$E$500,MATCH(F368,Брони!$A$2:$A$500,0))),"Да",""),""),"")</f>
        <v/>
      </c>
      <c r="K368" s="10" t="n"/>
      <c r="L368" s="14" t="n"/>
      <c r="M368" s="15">
        <f>IF(OR(A368="",B368=""),"",IF(AND(ISNUMBER(F368),H368&lt;&gt;"Компания"),D368+L368,0))</f>
        <v/>
      </c>
      <c r="N368" s="21">
        <f>SUMPRODUCT(MAX((Брони!$B$2:$B$500=B368)*((Брони!$F$2:$F$500="Выдана")+(Брони!$F$2:$F$500="Возвращена"))*(Брони!$D$2:$D$500&lt;=A368)*Брони!$D$2:$D$500))</f>
        <v/>
      </c>
      <c r="O368" s="19">
        <f>SUMPRODUCT((Брони!$B$2:$B$500=B368)*(Брони!$D$2:$D$500=N368)*((((Брони!$F$2:$F$500="Выдана")*NOW())+((Брони!$F$2:$F$500="Возвращена")*Брони!$E$2:$E$500))&gt;=A368)*Брони!$A$2:$A$500)</f>
        <v/>
      </c>
      <c r="P368" s="19">
        <f>SUMPRODUCT((Брони!$B$2:$B$500=B368)*(Брони!$D$2:$D$500=N368)*(((Брони!$F$2:$F$500="Выдана")+(Брони!$F$2:$F$500="Возвращена"))))</f>
        <v/>
      </c>
      <c r="Q368" s="10" t="n"/>
    </row>
    <row r="369">
      <c r="A369" s="11" t="n"/>
      <c r="B369" s="10" t="n"/>
      <c r="C369" s="10" t="n"/>
      <c r="D369" s="14" t="n"/>
      <c r="E369" s="10" t="n"/>
      <c r="F369" s="20">
        <f>IF(OR(A369="",B369=""),"",IF(OR(NOT(ISNUMBER(A369)),ISERROR(N369+O369+P369)),"Проверьте даты",IF(AND(N369&gt;0,P369&gt;1),"Дубль",IF(AND(N369&gt;0,O369&gt;0),O369,"Вне аренды"))))</f>
        <v/>
      </c>
      <c r="G369" s="12">
        <f>IF(ISNUMBER(F369),IFERROR(INDEX(Брони!$C$2:$C$500,MATCH(F369,Брони!$A$2:$A$500,0)),""),"")</f>
        <v/>
      </c>
      <c r="H369" s="10" t="n"/>
      <c r="I369" s="18" t="n"/>
      <c r="J369" s="12">
        <f>IF(AND(ISNUMBER(F369),I369&lt;&gt;""),IFERROR(IF(AND(INDEX(Брони!$F$2:$F$500,MATCH(F369,Брони!$A$2:$A$500,0))="Возвращена",I369&gt;INDEX(Брони!$E$2:$E$500,MATCH(F369,Брони!$A$2:$A$500,0))),"Да",""),""),"")</f>
        <v/>
      </c>
      <c r="K369" s="10" t="n"/>
      <c r="L369" s="14" t="n"/>
      <c r="M369" s="15">
        <f>IF(OR(A369="",B369=""),"",IF(AND(ISNUMBER(F369),H369&lt;&gt;"Компания"),D369+L369,0))</f>
        <v/>
      </c>
      <c r="N369" s="21">
        <f>SUMPRODUCT(MAX((Брони!$B$2:$B$500=B369)*((Брони!$F$2:$F$500="Выдана")+(Брони!$F$2:$F$500="Возвращена"))*(Брони!$D$2:$D$500&lt;=A369)*Брони!$D$2:$D$500))</f>
        <v/>
      </c>
      <c r="O369" s="19">
        <f>SUMPRODUCT((Брони!$B$2:$B$500=B369)*(Брони!$D$2:$D$500=N369)*((((Брони!$F$2:$F$500="Выдана")*NOW())+((Брони!$F$2:$F$500="Возвращена")*Брони!$E$2:$E$500))&gt;=A369)*Брони!$A$2:$A$500)</f>
        <v/>
      </c>
      <c r="P369" s="19">
        <f>SUMPRODUCT((Брони!$B$2:$B$500=B369)*(Брони!$D$2:$D$500=N369)*(((Брони!$F$2:$F$500="Выдана")+(Брони!$F$2:$F$500="Возвращена"))))</f>
        <v/>
      </c>
      <c r="Q369" s="10" t="n"/>
    </row>
    <row r="370">
      <c r="A370" s="11" t="n"/>
      <c r="B370" s="10" t="n"/>
      <c r="C370" s="10" t="n"/>
      <c r="D370" s="14" t="n"/>
      <c r="E370" s="10" t="n"/>
      <c r="F370" s="20">
        <f>IF(OR(A370="",B370=""),"",IF(OR(NOT(ISNUMBER(A370)),ISERROR(N370+O370+P370)),"Проверьте даты",IF(AND(N370&gt;0,P370&gt;1),"Дубль",IF(AND(N370&gt;0,O370&gt;0),O370,"Вне аренды"))))</f>
        <v/>
      </c>
      <c r="G370" s="12">
        <f>IF(ISNUMBER(F370),IFERROR(INDEX(Брони!$C$2:$C$500,MATCH(F370,Брони!$A$2:$A$500,0)),""),"")</f>
        <v/>
      </c>
      <c r="H370" s="10" t="n"/>
      <c r="I370" s="18" t="n"/>
      <c r="J370" s="12">
        <f>IF(AND(ISNUMBER(F370),I370&lt;&gt;""),IFERROR(IF(AND(INDEX(Брони!$F$2:$F$500,MATCH(F370,Брони!$A$2:$A$500,0))="Возвращена",I370&gt;INDEX(Брони!$E$2:$E$500,MATCH(F370,Брони!$A$2:$A$500,0))),"Да",""),""),"")</f>
        <v/>
      </c>
      <c r="K370" s="10" t="n"/>
      <c r="L370" s="14" t="n"/>
      <c r="M370" s="15">
        <f>IF(OR(A370="",B370=""),"",IF(AND(ISNUMBER(F370),H370&lt;&gt;"Компания"),D370+L370,0))</f>
        <v/>
      </c>
      <c r="N370" s="21">
        <f>SUMPRODUCT(MAX((Брони!$B$2:$B$500=B370)*((Брони!$F$2:$F$500="Выдана")+(Брони!$F$2:$F$500="Возвращена"))*(Брони!$D$2:$D$500&lt;=A370)*Брони!$D$2:$D$500))</f>
        <v/>
      </c>
      <c r="O370" s="19">
        <f>SUMPRODUCT((Брони!$B$2:$B$500=B370)*(Брони!$D$2:$D$500=N370)*((((Брони!$F$2:$F$500="Выдана")*NOW())+((Брони!$F$2:$F$500="Возвращена")*Брони!$E$2:$E$500))&gt;=A370)*Брони!$A$2:$A$500)</f>
        <v/>
      </c>
      <c r="P370" s="19">
        <f>SUMPRODUCT((Брони!$B$2:$B$500=B370)*(Брони!$D$2:$D$500=N370)*(((Брони!$F$2:$F$500="Выдана")+(Брони!$F$2:$F$500="Возвращена"))))</f>
        <v/>
      </c>
      <c r="Q370" s="10" t="n"/>
    </row>
    <row r="371">
      <c r="A371" s="11" t="n"/>
      <c r="B371" s="10" t="n"/>
      <c r="C371" s="10" t="n"/>
      <c r="D371" s="14" t="n"/>
      <c r="E371" s="10" t="n"/>
      <c r="F371" s="20">
        <f>IF(OR(A371="",B371=""),"",IF(OR(NOT(ISNUMBER(A371)),ISERROR(N371+O371+P371)),"Проверьте даты",IF(AND(N371&gt;0,P371&gt;1),"Дубль",IF(AND(N371&gt;0,O371&gt;0),O371,"Вне аренды"))))</f>
        <v/>
      </c>
      <c r="G371" s="12">
        <f>IF(ISNUMBER(F371),IFERROR(INDEX(Брони!$C$2:$C$500,MATCH(F371,Брони!$A$2:$A$500,0)),""),"")</f>
        <v/>
      </c>
      <c r="H371" s="10" t="n"/>
      <c r="I371" s="18" t="n"/>
      <c r="J371" s="12">
        <f>IF(AND(ISNUMBER(F371),I371&lt;&gt;""),IFERROR(IF(AND(INDEX(Брони!$F$2:$F$500,MATCH(F371,Брони!$A$2:$A$500,0))="Возвращена",I371&gt;INDEX(Брони!$E$2:$E$500,MATCH(F371,Брони!$A$2:$A$500,0))),"Да",""),""),"")</f>
        <v/>
      </c>
      <c r="K371" s="10" t="n"/>
      <c r="L371" s="14" t="n"/>
      <c r="M371" s="15">
        <f>IF(OR(A371="",B371=""),"",IF(AND(ISNUMBER(F371),H371&lt;&gt;"Компания"),D371+L371,0))</f>
        <v/>
      </c>
      <c r="N371" s="21">
        <f>SUMPRODUCT(MAX((Брони!$B$2:$B$500=B371)*((Брони!$F$2:$F$500="Выдана")+(Брони!$F$2:$F$500="Возвращена"))*(Брони!$D$2:$D$500&lt;=A371)*Брони!$D$2:$D$500))</f>
        <v/>
      </c>
      <c r="O371" s="19">
        <f>SUMPRODUCT((Брони!$B$2:$B$500=B371)*(Брони!$D$2:$D$500=N371)*((((Брони!$F$2:$F$500="Выдана")*NOW())+((Брони!$F$2:$F$500="Возвращена")*Брони!$E$2:$E$500))&gt;=A371)*Брони!$A$2:$A$500)</f>
        <v/>
      </c>
      <c r="P371" s="19">
        <f>SUMPRODUCT((Брони!$B$2:$B$500=B371)*(Брони!$D$2:$D$500=N371)*(((Брони!$F$2:$F$500="Выдана")+(Брони!$F$2:$F$500="Возвращена"))))</f>
        <v/>
      </c>
      <c r="Q371" s="10" t="n"/>
    </row>
    <row r="372">
      <c r="A372" s="11" t="n"/>
      <c r="B372" s="10" t="n"/>
      <c r="C372" s="10" t="n"/>
      <c r="D372" s="14" t="n"/>
      <c r="E372" s="10" t="n"/>
      <c r="F372" s="20">
        <f>IF(OR(A372="",B372=""),"",IF(OR(NOT(ISNUMBER(A372)),ISERROR(N372+O372+P372)),"Проверьте даты",IF(AND(N372&gt;0,P372&gt;1),"Дубль",IF(AND(N372&gt;0,O372&gt;0),O372,"Вне аренды"))))</f>
        <v/>
      </c>
      <c r="G372" s="12">
        <f>IF(ISNUMBER(F372),IFERROR(INDEX(Брони!$C$2:$C$500,MATCH(F372,Брони!$A$2:$A$500,0)),""),"")</f>
        <v/>
      </c>
      <c r="H372" s="10" t="n"/>
      <c r="I372" s="18" t="n"/>
      <c r="J372" s="12">
        <f>IF(AND(ISNUMBER(F372),I372&lt;&gt;""),IFERROR(IF(AND(INDEX(Брони!$F$2:$F$500,MATCH(F372,Брони!$A$2:$A$500,0))="Возвращена",I372&gt;INDEX(Брони!$E$2:$E$500,MATCH(F372,Брони!$A$2:$A$500,0))),"Да",""),""),"")</f>
        <v/>
      </c>
      <c r="K372" s="10" t="n"/>
      <c r="L372" s="14" t="n"/>
      <c r="M372" s="15">
        <f>IF(OR(A372="",B372=""),"",IF(AND(ISNUMBER(F372),H372&lt;&gt;"Компания"),D372+L372,0))</f>
        <v/>
      </c>
      <c r="N372" s="21">
        <f>SUMPRODUCT(MAX((Брони!$B$2:$B$500=B372)*((Брони!$F$2:$F$500="Выдана")+(Брони!$F$2:$F$500="Возвращена"))*(Брони!$D$2:$D$500&lt;=A372)*Брони!$D$2:$D$500))</f>
        <v/>
      </c>
      <c r="O372" s="19">
        <f>SUMPRODUCT((Брони!$B$2:$B$500=B372)*(Брони!$D$2:$D$500=N372)*((((Брони!$F$2:$F$500="Выдана")*NOW())+((Брони!$F$2:$F$500="Возвращена")*Брони!$E$2:$E$500))&gt;=A372)*Брони!$A$2:$A$500)</f>
        <v/>
      </c>
      <c r="P372" s="19">
        <f>SUMPRODUCT((Брони!$B$2:$B$500=B372)*(Брони!$D$2:$D$500=N372)*(((Брони!$F$2:$F$500="Выдана")+(Брони!$F$2:$F$500="Возвращена"))))</f>
        <v/>
      </c>
      <c r="Q372" s="10" t="n"/>
    </row>
    <row r="373">
      <c r="A373" s="11" t="n"/>
      <c r="B373" s="10" t="n"/>
      <c r="C373" s="10" t="n"/>
      <c r="D373" s="14" t="n"/>
      <c r="E373" s="10" t="n"/>
      <c r="F373" s="20">
        <f>IF(OR(A373="",B373=""),"",IF(OR(NOT(ISNUMBER(A373)),ISERROR(N373+O373+P373)),"Проверьте даты",IF(AND(N373&gt;0,P373&gt;1),"Дубль",IF(AND(N373&gt;0,O373&gt;0),O373,"Вне аренды"))))</f>
        <v/>
      </c>
      <c r="G373" s="12">
        <f>IF(ISNUMBER(F373),IFERROR(INDEX(Брони!$C$2:$C$500,MATCH(F373,Брони!$A$2:$A$500,0)),""),"")</f>
        <v/>
      </c>
      <c r="H373" s="10" t="n"/>
      <c r="I373" s="18" t="n"/>
      <c r="J373" s="12">
        <f>IF(AND(ISNUMBER(F373),I373&lt;&gt;""),IFERROR(IF(AND(INDEX(Брони!$F$2:$F$500,MATCH(F373,Брони!$A$2:$A$500,0))="Возвращена",I373&gt;INDEX(Брони!$E$2:$E$500,MATCH(F373,Брони!$A$2:$A$500,0))),"Да",""),""),"")</f>
        <v/>
      </c>
      <c r="K373" s="10" t="n"/>
      <c r="L373" s="14" t="n"/>
      <c r="M373" s="15">
        <f>IF(OR(A373="",B373=""),"",IF(AND(ISNUMBER(F373),H373&lt;&gt;"Компания"),D373+L373,0))</f>
        <v/>
      </c>
      <c r="N373" s="21">
        <f>SUMPRODUCT(MAX((Брони!$B$2:$B$500=B373)*((Брони!$F$2:$F$500="Выдана")+(Брони!$F$2:$F$500="Возвращена"))*(Брони!$D$2:$D$500&lt;=A373)*Брони!$D$2:$D$500))</f>
        <v/>
      </c>
      <c r="O373" s="19">
        <f>SUMPRODUCT((Брони!$B$2:$B$500=B373)*(Брони!$D$2:$D$500=N373)*((((Брони!$F$2:$F$500="Выдана")*NOW())+((Брони!$F$2:$F$500="Возвращена")*Брони!$E$2:$E$500))&gt;=A373)*Брони!$A$2:$A$500)</f>
        <v/>
      </c>
      <c r="P373" s="19">
        <f>SUMPRODUCT((Брони!$B$2:$B$500=B373)*(Брони!$D$2:$D$500=N373)*(((Брони!$F$2:$F$500="Выдана")+(Брони!$F$2:$F$500="Возвращена"))))</f>
        <v/>
      </c>
      <c r="Q373" s="10" t="n"/>
    </row>
    <row r="374">
      <c r="A374" s="11" t="n"/>
      <c r="B374" s="10" t="n"/>
      <c r="C374" s="10" t="n"/>
      <c r="D374" s="14" t="n"/>
      <c r="E374" s="10" t="n"/>
      <c r="F374" s="20">
        <f>IF(OR(A374="",B374=""),"",IF(OR(NOT(ISNUMBER(A374)),ISERROR(N374+O374+P374)),"Проверьте даты",IF(AND(N374&gt;0,P374&gt;1),"Дубль",IF(AND(N374&gt;0,O374&gt;0),O374,"Вне аренды"))))</f>
        <v/>
      </c>
      <c r="G374" s="12">
        <f>IF(ISNUMBER(F374),IFERROR(INDEX(Брони!$C$2:$C$500,MATCH(F374,Брони!$A$2:$A$500,0)),""),"")</f>
        <v/>
      </c>
      <c r="H374" s="10" t="n"/>
      <c r="I374" s="18" t="n"/>
      <c r="J374" s="12">
        <f>IF(AND(ISNUMBER(F374),I374&lt;&gt;""),IFERROR(IF(AND(INDEX(Брони!$F$2:$F$500,MATCH(F374,Брони!$A$2:$A$500,0))="Возвращена",I374&gt;INDEX(Брони!$E$2:$E$500,MATCH(F374,Брони!$A$2:$A$500,0))),"Да",""),""),"")</f>
        <v/>
      </c>
      <c r="K374" s="10" t="n"/>
      <c r="L374" s="14" t="n"/>
      <c r="M374" s="15">
        <f>IF(OR(A374="",B374=""),"",IF(AND(ISNUMBER(F374),H374&lt;&gt;"Компания"),D374+L374,0))</f>
        <v/>
      </c>
      <c r="N374" s="21">
        <f>SUMPRODUCT(MAX((Брони!$B$2:$B$500=B374)*((Брони!$F$2:$F$500="Выдана")+(Брони!$F$2:$F$500="Возвращена"))*(Брони!$D$2:$D$500&lt;=A374)*Брони!$D$2:$D$500))</f>
        <v/>
      </c>
      <c r="O374" s="19">
        <f>SUMPRODUCT((Брони!$B$2:$B$500=B374)*(Брони!$D$2:$D$500=N374)*((((Брони!$F$2:$F$500="Выдана")*NOW())+((Брони!$F$2:$F$500="Возвращена")*Брони!$E$2:$E$500))&gt;=A374)*Брони!$A$2:$A$500)</f>
        <v/>
      </c>
      <c r="P374" s="19">
        <f>SUMPRODUCT((Брони!$B$2:$B$500=B374)*(Брони!$D$2:$D$500=N374)*(((Брони!$F$2:$F$500="Выдана")+(Брони!$F$2:$F$500="Возвращена"))))</f>
        <v/>
      </c>
      <c r="Q374" s="10" t="n"/>
    </row>
    <row r="375">
      <c r="A375" s="11" t="n"/>
      <c r="B375" s="10" t="n"/>
      <c r="C375" s="10" t="n"/>
      <c r="D375" s="14" t="n"/>
      <c r="E375" s="10" t="n"/>
      <c r="F375" s="20">
        <f>IF(OR(A375="",B375=""),"",IF(OR(NOT(ISNUMBER(A375)),ISERROR(N375+O375+P375)),"Проверьте даты",IF(AND(N375&gt;0,P375&gt;1),"Дубль",IF(AND(N375&gt;0,O375&gt;0),O375,"Вне аренды"))))</f>
        <v/>
      </c>
      <c r="G375" s="12">
        <f>IF(ISNUMBER(F375),IFERROR(INDEX(Брони!$C$2:$C$500,MATCH(F375,Брони!$A$2:$A$500,0)),""),"")</f>
        <v/>
      </c>
      <c r="H375" s="10" t="n"/>
      <c r="I375" s="18" t="n"/>
      <c r="J375" s="12">
        <f>IF(AND(ISNUMBER(F375),I375&lt;&gt;""),IFERROR(IF(AND(INDEX(Брони!$F$2:$F$500,MATCH(F375,Брони!$A$2:$A$500,0))="Возвращена",I375&gt;INDEX(Брони!$E$2:$E$500,MATCH(F375,Брони!$A$2:$A$500,0))),"Да",""),""),"")</f>
        <v/>
      </c>
      <c r="K375" s="10" t="n"/>
      <c r="L375" s="14" t="n"/>
      <c r="M375" s="15">
        <f>IF(OR(A375="",B375=""),"",IF(AND(ISNUMBER(F375),H375&lt;&gt;"Компания"),D375+L375,0))</f>
        <v/>
      </c>
      <c r="N375" s="21">
        <f>SUMPRODUCT(MAX((Брони!$B$2:$B$500=B375)*((Брони!$F$2:$F$500="Выдана")+(Брони!$F$2:$F$500="Возвращена"))*(Брони!$D$2:$D$500&lt;=A375)*Брони!$D$2:$D$500))</f>
        <v/>
      </c>
      <c r="O375" s="19">
        <f>SUMPRODUCT((Брони!$B$2:$B$500=B375)*(Брони!$D$2:$D$500=N375)*((((Брони!$F$2:$F$500="Выдана")*NOW())+((Брони!$F$2:$F$500="Возвращена")*Брони!$E$2:$E$500))&gt;=A375)*Брони!$A$2:$A$500)</f>
        <v/>
      </c>
      <c r="P375" s="19">
        <f>SUMPRODUCT((Брони!$B$2:$B$500=B375)*(Брони!$D$2:$D$500=N375)*(((Брони!$F$2:$F$500="Выдана")+(Брони!$F$2:$F$500="Возвращена"))))</f>
        <v/>
      </c>
      <c r="Q375" s="10" t="n"/>
    </row>
    <row r="376">
      <c r="A376" s="11" t="n"/>
      <c r="B376" s="10" t="n"/>
      <c r="C376" s="10" t="n"/>
      <c r="D376" s="14" t="n"/>
      <c r="E376" s="10" t="n"/>
      <c r="F376" s="20">
        <f>IF(OR(A376="",B376=""),"",IF(OR(NOT(ISNUMBER(A376)),ISERROR(N376+O376+P376)),"Проверьте даты",IF(AND(N376&gt;0,P376&gt;1),"Дубль",IF(AND(N376&gt;0,O376&gt;0),O376,"Вне аренды"))))</f>
        <v/>
      </c>
      <c r="G376" s="12">
        <f>IF(ISNUMBER(F376),IFERROR(INDEX(Брони!$C$2:$C$500,MATCH(F376,Брони!$A$2:$A$500,0)),""),"")</f>
        <v/>
      </c>
      <c r="H376" s="10" t="n"/>
      <c r="I376" s="18" t="n"/>
      <c r="J376" s="12">
        <f>IF(AND(ISNUMBER(F376),I376&lt;&gt;""),IFERROR(IF(AND(INDEX(Брони!$F$2:$F$500,MATCH(F376,Брони!$A$2:$A$500,0))="Возвращена",I376&gt;INDEX(Брони!$E$2:$E$500,MATCH(F376,Брони!$A$2:$A$500,0))),"Да",""),""),"")</f>
        <v/>
      </c>
      <c r="K376" s="10" t="n"/>
      <c r="L376" s="14" t="n"/>
      <c r="M376" s="15">
        <f>IF(OR(A376="",B376=""),"",IF(AND(ISNUMBER(F376),H376&lt;&gt;"Компания"),D376+L376,0))</f>
        <v/>
      </c>
      <c r="N376" s="21">
        <f>SUMPRODUCT(MAX((Брони!$B$2:$B$500=B376)*((Брони!$F$2:$F$500="Выдана")+(Брони!$F$2:$F$500="Возвращена"))*(Брони!$D$2:$D$500&lt;=A376)*Брони!$D$2:$D$500))</f>
        <v/>
      </c>
      <c r="O376" s="19">
        <f>SUMPRODUCT((Брони!$B$2:$B$500=B376)*(Брони!$D$2:$D$500=N376)*((((Брони!$F$2:$F$500="Выдана")*NOW())+((Брони!$F$2:$F$500="Возвращена")*Брони!$E$2:$E$500))&gt;=A376)*Брони!$A$2:$A$500)</f>
        <v/>
      </c>
      <c r="P376" s="19">
        <f>SUMPRODUCT((Брони!$B$2:$B$500=B376)*(Брони!$D$2:$D$500=N376)*(((Брони!$F$2:$F$500="Выдана")+(Брони!$F$2:$F$500="Возвращена"))))</f>
        <v/>
      </c>
      <c r="Q376" s="10" t="n"/>
    </row>
    <row r="377">
      <c r="A377" s="11" t="n"/>
      <c r="B377" s="10" t="n"/>
      <c r="C377" s="10" t="n"/>
      <c r="D377" s="14" t="n"/>
      <c r="E377" s="10" t="n"/>
      <c r="F377" s="20">
        <f>IF(OR(A377="",B377=""),"",IF(OR(NOT(ISNUMBER(A377)),ISERROR(N377+O377+P377)),"Проверьте даты",IF(AND(N377&gt;0,P377&gt;1),"Дубль",IF(AND(N377&gt;0,O377&gt;0),O377,"Вне аренды"))))</f>
        <v/>
      </c>
      <c r="G377" s="12">
        <f>IF(ISNUMBER(F377),IFERROR(INDEX(Брони!$C$2:$C$500,MATCH(F377,Брони!$A$2:$A$500,0)),""),"")</f>
        <v/>
      </c>
      <c r="H377" s="10" t="n"/>
      <c r="I377" s="18" t="n"/>
      <c r="J377" s="12">
        <f>IF(AND(ISNUMBER(F377),I377&lt;&gt;""),IFERROR(IF(AND(INDEX(Брони!$F$2:$F$500,MATCH(F377,Брони!$A$2:$A$500,0))="Возвращена",I377&gt;INDEX(Брони!$E$2:$E$500,MATCH(F377,Брони!$A$2:$A$500,0))),"Да",""),""),"")</f>
        <v/>
      </c>
      <c r="K377" s="10" t="n"/>
      <c r="L377" s="14" t="n"/>
      <c r="M377" s="15">
        <f>IF(OR(A377="",B377=""),"",IF(AND(ISNUMBER(F377),H377&lt;&gt;"Компания"),D377+L377,0))</f>
        <v/>
      </c>
      <c r="N377" s="21">
        <f>SUMPRODUCT(MAX((Брони!$B$2:$B$500=B377)*((Брони!$F$2:$F$500="Выдана")+(Брони!$F$2:$F$500="Возвращена"))*(Брони!$D$2:$D$500&lt;=A377)*Брони!$D$2:$D$500))</f>
        <v/>
      </c>
      <c r="O377" s="19">
        <f>SUMPRODUCT((Брони!$B$2:$B$500=B377)*(Брони!$D$2:$D$500=N377)*((((Брони!$F$2:$F$500="Выдана")*NOW())+((Брони!$F$2:$F$500="Возвращена")*Брони!$E$2:$E$500))&gt;=A377)*Брони!$A$2:$A$500)</f>
        <v/>
      </c>
      <c r="P377" s="19">
        <f>SUMPRODUCT((Брони!$B$2:$B$500=B377)*(Брони!$D$2:$D$500=N377)*(((Брони!$F$2:$F$500="Выдана")+(Брони!$F$2:$F$500="Возвращена"))))</f>
        <v/>
      </c>
      <c r="Q377" s="10" t="n"/>
    </row>
    <row r="378">
      <c r="A378" s="11" t="n"/>
      <c r="B378" s="10" t="n"/>
      <c r="C378" s="10" t="n"/>
      <c r="D378" s="14" t="n"/>
      <c r="E378" s="10" t="n"/>
      <c r="F378" s="20">
        <f>IF(OR(A378="",B378=""),"",IF(OR(NOT(ISNUMBER(A378)),ISERROR(N378+O378+P378)),"Проверьте даты",IF(AND(N378&gt;0,P378&gt;1),"Дубль",IF(AND(N378&gt;0,O378&gt;0),O378,"Вне аренды"))))</f>
        <v/>
      </c>
      <c r="G378" s="12">
        <f>IF(ISNUMBER(F378),IFERROR(INDEX(Брони!$C$2:$C$500,MATCH(F378,Брони!$A$2:$A$500,0)),""),"")</f>
        <v/>
      </c>
      <c r="H378" s="10" t="n"/>
      <c r="I378" s="18" t="n"/>
      <c r="J378" s="12">
        <f>IF(AND(ISNUMBER(F378),I378&lt;&gt;""),IFERROR(IF(AND(INDEX(Брони!$F$2:$F$500,MATCH(F378,Брони!$A$2:$A$500,0))="Возвращена",I378&gt;INDEX(Брони!$E$2:$E$500,MATCH(F378,Брони!$A$2:$A$500,0))),"Да",""),""),"")</f>
        <v/>
      </c>
      <c r="K378" s="10" t="n"/>
      <c r="L378" s="14" t="n"/>
      <c r="M378" s="15">
        <f>IF(OR(A378="",B378=""),"",IF(AND(ISNUMBER(F378),H378&lt;&gt;"Компания"),D378+L378,0))</f>
        <v/>
      </c>
      <c r="N378" s="21">
        <f>SUMPRODUCT(MAX((Брони!$B$2:$B$500=B378)*((Брони!$F$2:$F$500="Выдана")+(Брони!$F$2:$F$500="Возвращена"))*(Брони!$D$2:$D$500&lt;=A378)*Брони!$D$2:$D$500))</f>
        <v/>
      </c>
      <c r="O378" s="19">
        <f>SUMPRODUCT((Брони!$B$2:$B$500=B378)*(Брони!$D$2:$D$500=N378)*((((Брони!$F$2:$F$500="Выдана")*NOW())+((Брони!$F$2:$F$500="Возвращена")*Брони!$E$2:$E$500))&gt;=A378)*Брони!$A$2:$A$500)</f>
        <v/>
      </c>
      <c r="P378" s="19">
        <f>SUMPRODUCT((Брони!$B$2:$B$500=B378)*(Брони!$D$2:$D$500=N378)*(((Брони!$F$2:$F$500="Выдана")+(Брони!$F$2:$F$500="Возвращена"))))</f>
        <v/>
      </c>
      <c r="Q378" s="10" t="n"/>
    </row>
    <row r="379">
      <c r="A379" s="11" t="n"/>
      <c r="B379" s="10" t="n"/>
      <c r="C379" s="10" t="n"/>
      <c r="D379" s="14" t="n"/>
      <c r="E379" s="10" t="n"/>
      <c r="F379" s="20">
        <f>IF(OR(A379="",B379=""),"",IF(OR(NOT(ISNUMBER(A379)),ISERROR(N379+O379+P379)),"Проверьте даты",IF(AND(N379&gt;0,P379&gt;1),"Дубль",IF(AND(N379&gt;0,O379&gt;0),O379,"Вне аренды"))))</f>
        <v/>
      </c>
      <c r="G379" s="12">
        <f>IF(ISNUMBER(F379),IFERROR(INDEX(Брони!$C$2:$C$500,MATCH(F379,Брони!$A$2:$A$500,0)),""),"")</f>
        <v/>
      </c>
      <c r="H379" s="10" t="n"/>
      <c r="I379" s="18" t="n"/>
      <c r="J379" s="12">
        <f>IF(AND(ISNUMBER(F379),I379&lt;&gt;""),IFERROR(IF(AND(INDEX(Брони!$F$2:$F$500,MATCH(F379,Брони!$A$2:$A$500,0))="Возвращена",I379&gt;INDEX(Брони!$E$2:$E$500,MATCH(F379,Брони!$A$2:$A$500,0))),"Да",""),""),"")</f>
        <v/>
      </c>
      <c r="K379" s="10" t="n"/>
      <c r="L379" s="14" t="n"/>
      <c r="M379" s="15">
        <f>IF(OR(A379="",B379=""),"",IF(AND(ISNUMBER(F379),H379&lt;&gt;"Компания"),D379+L379,0))</f>
        <v/>
      </c>
      <c r="N379" s="21">
        <f>SUMPRODUCT(MAX((Брони!$B$2:$B$500=B379)*((Брони!$F$2:$F$500="Выдана")+(Брони!$F$2:$F$500="Возвращена"))*(Брони!$D$2:$D$500&lt;=A379)*Брони!$D$2:$D$500))</f>
        <v/>
      </c>
      <c r="O379" s="19">
        <f>SUMPRODUCT((Брони!$B$2:$B$500=B379)*(Брони!$D$2:$D$500=N379)*((((Брони!$F$2:$F$500="Выдана")*NOW())+((Брони!$F$2:$F$500="Возвращена")*Брони!$E$2:$E$500))&gt;=A379)*Брони!$A$2:$A$500)</f>
        <v/>
      </c>
      <c r="P379" s="19">
        <f>SUMPRODUCT((Брони!$B$2:$B$500=B379)*(Брони!$D$2:$D$500=N379)*(((Брони!$F$2:$F$500="Выдана")+(Брони!$F$2:$F$500="Возвращена"))))</f>
        <v/>
      </c>
      <c r="Q379" s="10" t="n"/>
    </row>
    <row r="380">
      <c r="A380" s="11" t="n"/>
      <c r="B380" s="10" t="n"/>
      <c r="C380" s="10" t="n"/>
      <c r="D380" s="14" t="n"/>
      <c r="E380" s="10" t="n"/>
      <c r="F380" s="20">
        <f>IF(OR(A380="",B380=""),"",IF(OR(NOT(ISNUMBER(A380)),ISERROR(N380+O380+P380)),"Проверьте даты",IF(AND(N380&gt;0,P380&gt;1),"Дубль",IF(AND(N380&gt;0,O380&gt;0),O380,"Вне аренды"))))</f>
        <v/>
      </c>
      <c r="G380" s="12">
        <f>IF(ISNUMBER(F380),IFERROR(INDEX(Брони!$C$2:$C$500,MATCH(F380,Брони!$A$2:$A$500,0)),""),"")</f>
        <v/>
      </c>
      <c r="H380" s="10" t="n"/>
      <c r="I380" s="18" t="n"/>
      <c r="J380" s="12">
        <f>IF(AND(ISNUMBER(F380),I380&lt;&gt;""),IFERROR(IF(AND(INDEX(Брони!$F$2:$F$500,MATCH(F380,Брони!$A$2:$A$500,0))="Возвращена",I380&gt;INDEX(Брони!$E$2:$E$500,MATCH(F380,Брони!$A$2:$A$500,0))),"Да",""),""),"")</f>
        <v/>
      </c>
      <c r="K380" s="10" t="n"/>
      <c r="L380" s="14" t="n"/>
      <c r="M380" s="15">
        <f>IF(OR(A380="",B380=""),"",IF(AND(ISNUMBER(F380),H380&lt;&gt;"Компания"),D380+L380,0))</f>
        <v/>
      </c>
      <c r="N380" s="21">
        <f>SUMPRODUCT(MAX((Брони!$B$2:$B$500=B380)*((Брони!$F$2:$F$500="Выдана")+(Брони!$F$2:$F$500="Возвращена"))*(Брони!$D$2:$D$500&lt;=A380)*Брони!$D$2:$D$500))</f>
        <v/>
      </c>
      <c r="O380" s="19">
        <f>SUMPRODUCT((Брони!$B$2:$B$500=B380)*(Брони!$D$2:$D$500=N380)*((((Брони!$F$2:$F$500="Выдана")*NOW())+((Брони!$F$2:$F$500="Возвращена")*Брони!$E$2:$E$500))&gt;=A380)*Брони!$A$2:$A$500)</f>
        <v/>
      </c>
      <c r="P380" s="19">
        <f>SUMPRODUCT((Брони!$B$2:$B$500=B380)*(Брони!$D$2:$D$500=N380)*(((Брони!$F$2:$F$500="Выдана")+(Брони!$F$2:$F$500="Возвращена"))))</f>
        <v/>
      </c>
      <c r="Q380" s="10" t="n"/>
    </row>
    <row r="381">
      <c r="A381" s="11" t="n"/>
      <c r="B381" s="10" t="n"/>
      <c r="C381" s="10" t="n"/>
      <c r="D381" s="14" t="n"/>
      <c r="E381" s="10" t="n"/>
      <c r="F381" s="20">
        <f>IF(OR(A381="",B381=""),"",IF(OR(NOT(ISNUMBER(A381)),ISERROR(N381+O381+P381)),"Проверьте даты",IF(AND(N381&gt;0,P381&gt;1),"Дубль",IF(AND(N381&gt;0,O381&gt;0),O381,"Вне аренды"))))</f>
        <v/>
      </c>
      <c r="G381" s="12">
        <f>IF(ISNUMBER(F381),IFERROR(INDEX(Брони!$C$2:$C$500,MATCH(F381,Брони!$A$2:$A$500,0)),""),"")</f>
        <v/>
      </c>
      <c r="H381" s="10" t="n"/>
      <c r="I381" s="18" t="n"/>
      <c r="J381" s="12">
        <f>IF(AND(ISNUMBER(F381),I381&lt;&gt;""),IFERROR(IF(AND(INDEX(Брони!$F$2:$F$500,MATCH(F381,Брони!$A$2:$A$500,0))="Возвращена",I381&gt;INDEX(Брони!$E$2:$E$500,MATCH(F381,Брони!$A$2:$A$500,0))),"Да",""),""),"")</f>
        <v/>
      </c>
      <c r="K381" s="10" t="n"/>
      <c r="L381" s="14" t="n"/>
      <c r="M381" s="15">
        <f>IF(OR(A381="",B381=""),"",IF(AND(ISNUMBER(F381),H381&lt;&gt;"Компания"),D381+L381,0))</f>
        <v/>
      </c>
      <c r="N381" s="21">
        <f>SUMPRODUCT(MAX((Брони!$B$2:$B$500=B381)*((Брони!$F$2:$F$500="Выдана")+(Брони!$F$2:$F$500="Возвращена"))*(Брони!$D$2:$D$500&lt;=A381)*Брони!$D$2:$D$500))</f>
        <v/>
      </c>
      <c r="O381" s="19">
        <f>SUMPRODUCT((Брони!$B$2:$B$500=B381)*(Брони!$D$2:$D$500=N381)*((((Брони!$F$2:$F$500="Выдана")*NOW())+((Брони!$F$2:$F$500="Возвращена")*Брони!$E$2:$E$500))&gt;=A381)*Брони!$A$2:$A$500)</f>
        <v/>
      </c>
      <c r="P381" s="19">
        <f>SUMPRODUCT((Брони!$B$2:$B$500=B381)*(Брони!$D$2:$D$500=N381)*(((Брони!$F$2:$F$500="Выдана")+(Брони!$F$2:$F$500="Возвращена"))))</f>
        <v/>
      </c>
      <c r="Q381" s="10" t="n"/>
    </row>
    <row r="382">
      <c r="A382" s="11" t="n"/>
      <c r="B382" s="10" t="n"/>
      <c r="C382" s="10" t="n"/>
      <c r="D382" s="14" t="n"/>
      <c r="E382" s="10" t="n"/>
      <c r="F382" s="20">
        <f>IF(OR(A382="",B382=""),"",IF(OR(NOT(ISNUMBER(A382)),ISERROR(N382+O382+P382)),"Проверьте даты",IF(AND(N382&gt;0,P382&gt;1),"Дубль",IF(AND(N382&gt;0,O382&gt;0),O382,"Вне аренды"))))</f>
        <v/>
      </c>
      <c r="G382" s="12">
        <f>IF(ISNUMBER(F382),IFERROR(INDEX(Брони!$C$2:$C$500,MATCH(F382,Брони!$A$2:$A$500,0)),""),"")</f>
        <v/>
      </c>
      <c r="H382" s="10" t="n"/>
      <c r="I382" s="18" t="n"/>
      <c r="J382" s="12">
        <f>IF(AND(ISNUMBER(F382),I382&lt;&gt;""),IFERROR(IF(AND(INDEX(Брони!$F$2:$F$500,MATCH(F382,Брони!$A$2:$A$500,0))="Возвращена",I382&gt;INDEX(Брони!$E$2:$E$500,MATCH(F382,Брони!$A$2:$A$500,0))),"Да",""),""),"")</f>
        <v/>
      </c>
      <c r="K382" s="10" t="n"/>
      <c r="L382" s="14" t="n"/>
      <c r="M382" s="15">
        <f>IF(OR(A382="",B382=""),"",IF(AND(ISNUMBER(F382),H382&lt;&gt;"Компания"),D382+L382,0))</f>
        <v/>
      </c>
      <c r="N382" s="21">
        <f>SUMPRODUCT(MAX((Брони!$B$2:$B$500=B382)*((Брони!$F$2:$F$500="Выдана")+(Брони!$F$2:$F$500="Возвращена"))*(Брони!$D$2:$D$500&lt;=A382)*Брони!$D$2:$D$500))</f>
        <v/>
      </c>
      <c r="O382" s="19">
        <f>SUMPRODUCT((Брони!$B$2:$B$500=B382)*(Брони!$D$2:$D$500=N382)*((((Брони!$F$2:$F$500="Выдана")*NOW())+((Брони!$F$2:$F$500="Возвращена")*Брони!$E$2:$E$500))&gt;=A382)*Брони!$A$2:$A$500)</f>
        <v/>
      </c>
      <c r="P382" s="19">
        <f>SUMPRODUCT((Брони!$B$2:$B$500=B382)*(Брони!$D$2:$D$500=N382)*(((Брони!$F$2:$F$500="Выдана")+(Брони!$F$2:$F$500="Возвращена"))))</f>
        <v/>
      </c>
      <c r="Q382" s="10" t="n"/>
    </row>
    <row r="383">
      <c r="A383" s="11" t="n"/>
      <c r="B383" s="10" t="n"/>
      <c r="C383" s="10" t="n"/>
      <c r="D383" s="14" t="n"/>
      <c r="E383" s="10" t="n"/>
      <c r="F383" s="20">
        <f>IF(OR(A383="",B383=""),"",IF(OR(NOT(ISNUMBER(A383)),ISERROR(N383+O383+P383)),"Проверьте даты",IF(AND(N383&gt;0,P383&gt;1),"Дубль",IF(AND(N383&gt;0,O383&gt;0),O383,"Вне аренды"))))</f>
        <v/>
      </c>
      <c r="G383" s="12">
        <f>IF(ISNUMBER(F383),IFERROR(INDEX(Брони!$C$2:$C$500,MATCH(F383,Брони!$A$2:$A$500,0)),""),"")</f>
        <v/>
      </c>
      <c r="H383" s="10" t="n"/>
      <c r="I383" s="18" t="n"/>
      <c r="J383" s="12">
        <f>IF(AND(ISNUMBER(F383),I383&lt;&gt;""),IFERROR(IF(AND(INDEX(Брони!$F$2:$F$500,MATCH(F383,Брони!$A$2:$A$500,0))="Возвращена",I383&gt;INDEX(Брони!$E$2:$E$500,MATCH(F383,Брони!$A$2:$A$500,0))),"Да",""),""),"")</f>
        <v/>
      </c>
      <c r="K383" s="10" t="n"/>
      <c r="L383" s="14" t="n"/>
      <c r="M383" s="15">
        <f>IF(OR(A383="",B383=""),"",IF(AND(ISNUMBER(F383),H383&lt;&gt;"Компания"),D383+L383,0))</f>
        <v/>
      </c>
      <c r="N383" s="21">
        <f>SUMPRODUCT(MAX((Брони!$B$2:$B$500=B383)*((Брони!$F$2:$F$500="Выдана")+(Брони!$F$2:$F$500="Возвращена"))*(Брони!$D$2:$D$500&lt;=A383)*Брони!$D$2:$D$500))</f>
        <v/>
      </c>
      <c r="O383" s="19">
        <f>SUMPRODUCT((Брони!$B$2:$B$500=B383)*(Брони!$D$2:$D$500=N383)*((((Брони!$F$2:$F$500="Выдана")*NOW())+((Брони!$F$2:$F$500="Возвращена")*Брони!$E$2:$E$500))&gt;=A383)*Брони!$A$2:$A$500)</f>
        <v/>
      </c>
      <c r="P383" s="19">
        <f>SUMPRODUCT((Брони!$B$2:$B$500=B383)*(Брони!$D$2:$D$500=N383)*(((Брони!$F$2:$F$500="Выдана")+(Брони!$F$2:$F$500="Возвращена"))))</f>
        <v/>
      </c>
      <c r="Q383" s="10" t="n"/>
    </row>
    <row r="384">
      <c r="A384" s="11" t="n"/>
      <c r="B384" s="10" t="n"/>
      <c r="C384" s="10" t="n"/>
      <c r="D384" s="14" t="n"/>
      <c r="E384" s="10" t="n"/>
      <c r="F384" s="20">
        <f>IF(OR(A384="",B384=""),"",IF(OR(NOT(ISNUMBER(A384)),ISERROR(N384+O384+P384)),"Проверьте даты",IF(AND(N384&gt;0,P384&gt;1),"Дубль",IF(AND(N384&gt;0,O384&gt;0),O384,"Вне аренды"))))</f>
        <v/>
      </c>
      <c r="G384" s="12">
        <f>IF(ISNUMBER(F384),IFERROR(INDEX(Брони!$C$2:$C$500,MATCH(F384,Брони!$A$2:$A$500,0)),""),"")</f>
        <v/>
      </c>
      <c r="H384" s="10" t="n"/>
      <c r="I384" s="18" t="n"/>
      <c r="J384" s="12">
        <f>IF(AND(ISNUMBER(F384),I384&lt;&gt;""),IFERROR(IF(AND(INDEX(Брони!$F$2:$F$500,MATCH(F384,Брони!$A$2:$A$500,0))="Возвращена",I384&gt;INDEX(Брони!$E$2:$E$500,MATCH(F384,Брони!$A$2:$A$500,0))),"Да",""),""),"")</f>
        <v/>
      </c>
      <c r="K384" s="10" t="n"/>
      <c r="L384" s="14" t="n"/>
      <c r="M384" s="15">
        <f>IF(OR(A384="",B384=""),"",IF(AND(ISNUMBER(F384),H384&lt;&gt;"Компания"),D384+L384,0))</f>
        <v/>
      </c>
      <c r="N384" s="21">
        <f>SUMPRODUCT(MAX((Брони!$B$2:$B$500=B384)*((Брони!$F$2:$F$500="Выдана")+(Брони!$F$2:$F$500="Возвращена"))*(Брони!$D$2:$D$500&lt;=A384)*Брони!$D$2:$D$500))</f>
        <v/>
      </c>
      <c r="O384" s="19">
        <f>SUMPRODUCT((Брони!$B$2:$B$500=B384)*(Брони!$D$2:$D$500=N384)*((((Брони!$F$2:$F$500="Выдана")*NOW())+((Брони!$F$2:$F$500="Возвращена")*Брони!$E$2:$E$500))&gt;=A384)*Брони!$A$2:$A$500)</f>
        <v/>
      </c>
      <c r="P384" s="19">
        <f>SUMPRODUCT((Брони!$B$2:$B$500=B384)*(Брони!$D$2:$D$500=N384)*(((Брони!$F$2:$F$500="Выдана")+(Брони!$F$2:$F$500="Возвращена"))))</f>
        <v/>
      </c>
      <c r="Q384" s="10" t="n"/>
    </row>
    <row r="385">
      <c r="A385" s="11" t="n"/>
      <c r="B385" s="10" t="n"/>
      <c r="C385" s="10" t="n"/>
      <c r="D385" s="14" t="n"/>
      <c r="E385" s="10" t="n"/>
      <c r="F385" s="20">
        <f>IF(OR(A385="",B385=""),"",IF(OR(NOT(ISNUMBER(A385)),ISERROR(N385+O385+P385)),"Проверьте даты",IF(AND(N385&gt;0,P385&gt;1),"Дубль",IF(AND(N385&gt;0,O385&gt;0),O385,"Вне аренды"))))</f>
        <v/>
      </c>
      <c r="G385" s="12">
        <f>IF(ISNUMBER(F385),IFERROR(INDEX(Брони!$C$2:$C$500,MATCH(F385,Брони!$A$2:$A$500,0)),""),"")</f>
        <v/>
      </c>
      <c r="H385" s="10" t="n"/>
      <c r="I385" s="18" t="n"/>
      <c r="J385" s="12">
        <f>IF(AND(ISNUMBER(F385),I385&lt;&gt;""),IFERROR(IF(AND(INDEX(Брони!$F$2:$F$500,MATCH(F385,Брони!$A$2:$A$500,0))="Возвращена",I385&gt;INDEX(Брони!$E$2:$E$500,MATCH(F385,Брони!$A$2:$A$500,0))),"Да",""),""),"")</f>
        <v/>
      </c>
      <c r="K385" s="10" t="n"/>
      <c r="L385" s="14" t="n"/>
      <c r="M385" s="15">
        <f>IF(OR(A385="",B385=""),"",IF(AND(ISNUMBER(F385),H385&lt;&gt;"Компания"),D385+L385,0))</f>
        <v/>
      </c>
      <c r="N385" s="21">
        <f>SUMPRODUCT(MAX((Брони!$B$2:$B$500=B385)*((Брони!$F$2:$F$500="Выдана")+(Брони!$F$2:$F$500="Возвращена"))*(Брони!$D$2:$D$500&lt;=A385)*Брони!$D$2:$D$500))</f>
        <v/>
      </c>
      <c r="O385" s="19">
        <f>SUMPRODUCT((Брони!$B$2:$B$500=B385)*(Брони!$D$2:$D$500=N385)*((((Брони!$F$2:$F$500="Выдана")*NOW())+((Брони!$F$2:$F$500="Возвращена")*Брони!$E$2:$E$500))&gt;=A385)*Брони!$A$2:$A$500)</f>
        <v/>
      </c>
      <c r="P385" s="19">
        <f>SUMPRODUCT((Брони!$B$2:$B$500=B385)*(Брони!$D$2:$D$500=N385)*(((Брони!$F$2:$F$500="Выдана")+(Брони!$F$2:$F$500="Возвращена"))))</f>
        <v/>
      </c>
      <c r="Q385" s="10" t="n"/>
    </row>
    <row r="386">
      <c r="A386" s="11" t="n"/>
      <c r="B386" s="10" t="n"/>
      <c r="C386" s="10" t="n"/>
      <c r="D386" s="14" t="n"/>
      <c r="E386" s="10" t="n"/>
      <c r="F386" s="20">
        <f>IF(OR(A386="",B386=""),"",IF(OR(NOT(ISNUMBER(A386)),ISERROR(N386+O386+P386)),"Проверьте даты",IF(AND(N386&gt;0,P386&gt;1),"Дубль",IF(AND(N386&gt;0,O386&gt;0),O386,"Вне аренды"))))</f>
        <v/>
      </c>
      <c r="G386" s="12">
        <f>IF(ISNUMBER(F386),IFERROR(INDEX(Брони!$C$2:$C$500,MATCH(F386,Брони!$A$2:$A$500,0)),""),"")</f>
        <v/>
      </c>
      <c r="H386" s="10" t="n"/>
      <c r="I386" s="18" t="n"/>
      <c r="J386" s="12">
        <f>IF(AND(ISNUMBER(F386),I386&lt;&gt;""),IFERROR(IF(AND(INDEX(Брони!$F$2:$F$500,MATCH(F386,Брони!$A$2:$A$500,0))="Возвращена",I386&gt;INDEX(Брони!$E$2:$E$500,MATCH(F386,Брони!$A$2:$A$500,0))),"Да",""),""),"")</f>
        <v/>
      </c>
      <c r="K386" s="10" t="n"/>
      <c r="L386" s="14" t="n"/>
      <c r="M386" s="15">
        <f>IF(OR(A386="",B386=""),"",IF(AND(ISNUMBER(F386),H386&lt;&gt;"Компания"),D386+L386,0))</f>
        <v/>
      </c>
      <c r="N386" s="21">
        <f>SUMPRODUCT(MAX((Брони!$B$2:$B$500=B386)*((Брони!$F$2:$F$500="Выдана")+(Брони!$F$2:$F$500="Возвращена"))*(Брони!$D$2:$D$500&lt;=A386)*Брони!$D$2:$D$500))</f>
        <v/>
      </c>
      <c r="O386" s="19">
        <f>SUMPRODUCT((Брони!$B$2:$B$500=B386)*(Брони!$D$2:$D$500=N386)*((((Брони!$F$2:$F$500="Выдана")*NOW())+((Брони!$F$2:$F$500="Возвращена")*Брони!$E$2:$E$500))&gt;=A386)*Брони!$A$2:$A$500)</f>
        <v/>
      </c>
      <c r="P386" s="19">
        <f>SUMPRODUCT((Брони!$B$2:$B$500=B386)*(Брони!$D$2:$D$500=N386)*(((Брони!$F$2:$F$500="Выдана")+(Брони!$F$2:$F$500="Возвращена"))))</f>
        <v/>
      </c>
      <c r="Q386" s="10" t="n"/>
    </row>
    <row r="387">
      <c r="A387" s="11" t="n"/>
      <c r="B387" s="10" t="n"/>
      <c r="C387" s="10" t="n"/>
      <c r="D387" s="14" t="n"/>
      <c r="E387" s="10" t="n"/>
      <c r="F387" s="20">
        <f>IF(OR(A387="",B387=""),"",IF(OR(NOT(ISNUMBER(A387)),ISERROR(N387+O387+P387)),"Проверьте даты",IF(AND(N387&gt;0,P387&gt;1),"Дубль",IF(AND(N387&gt;0,O387&gt;0),O387,"Вне аренды"))))</f>
        <v/>
      </c>
      <c r="G387" s="12">
        <f>IF(ISNUMBER(F387),IFERROR(INDEX(Брони!$C$2:$C$500,MATCH(F387,Брони!$A$2:$A$500,0)),""),"")</f>
        <v/>
      </c>
      <c r="H387" s="10" t="n"/>
      <c r="I387" s="18" t="n"/>
      <c r="J387" s="12">
        <f>IF(AND(ISNUMBER(F387),I387&lt;&gt;""),IFERROR(IF(AND(INDEX(Брони!$F$2:$F$500,MATCH(F387,Брони!$A$2:$A$500,0))="Возвращена",I387&gt;INDEX(Брони!$E$2:$E$500,MATCH(F387,Брони!$A$2:$A$500,0))),"Да",""),""),"")</f>
        <v/>
      </c>
      <c r="K387" s="10" t="n"/>
      <c r="L387" s="14" t="n"/>
      <c r="M387" s="15">
        <f>IF(OR(A387="",B387=""),"",IF(AND(ISNUMBER(F387),H387&lt;&gt;"Компания"),D387+L387,0))</f>
        <v/>
      </c>
      <c r="N387" s="21">
        <f>SUMPRODUCT(MAX((Брони!$B$2:$B$500=B387)*((Брони!$F$2:$F$500="Выдана")+(Брони!$F$2:$F$500="Возвращена"))*(Брони!$D$2:$D$500&lt;=A387)*Брони!$D$2:$D$500))</f>
        <v/>
      </c>
      <c r="O387" s="19">
        <f>SUMPRODUCT((Брони!$B$2:$B$500=B387)*(Брони!$D$2:$D$500=N387)*((((Брони!$F$2:$F$500="Выдана")*NOW())+((Брони!$F$2:$F$500="Возвращена")*Брони!$E$2:$E$500))&gt;=A387)*Брони!$A$2:$A$500)</f>
        <v/>
      </c>
      <c r="P387" s="19">
        <f>SUMPRODUCT((Брони!$B$2:$B$500=B387)*(Брони!$D$2:$D$500=N387)*(((Брони!$F$2:$F$500="Выдана")+(Брони!$F$2:$F$500="Возвращена"))))</f>
        <v/>
      </c>
      <c r="Q387" s="10" t="n"/>
    </row>
    <row r="388">
      <c r="A388" s="11" t="n"/>
      <c r="B388" s="10" t="n"/>
      <c r="C388" s="10" t="n"/>
      <c r="D388" s="14" t="n"/>
      <c r="E388" s="10" t="n"/>
      <c r="F388" s="20">
        <f>IF(OR(A388="",B388=""),"",IF(OR(NOT(ISNUMBER(A388)),ISERROR(N388+O388+P388)),"Проверьте даты",IF(AND(N388&gt;0,P388&gt;1),"Дубль",IF(AND(N388&gt;0,O388&gt;0),O388,"Вне аренды"))))</f>
        <v/>
      </c>
      <c r="G388" s="12">
        <f>IF(ISNUMBER(F388),IFERROR(INDEX(Брони!$C$2:$C$500,MATCH(F388,Брони!$A$2:$A$500,0)),""),"")</f>
        <v/>
      </c>
      <c r="H388" s="10" t="n"/>
      <c r="I388" s="18" t="n"/>
      <c r="J388" s="12">
        <f>IF(AND(ISNUMBER(F388),I388&lt;&gt;""),IFERROR(IF(AND(INDEX(Брони!$F$2:$F$500,MATCH(F388,Брони!$A$2:$A$500,0))="Возвращена",I388&gt;INDEX(Брони!$E$2:$E$500,MATCH(F388,Брони!$A$2:$A$500,0))),"Да",""),""),"")</f>
        <v/>
      </c>
      <c r="K388" s="10" t="n"/>
      <c r="L388" s="14" t="n"/>
      <c r="M388" s="15">
        <f>IF(OR(A388="",B388=""),"",IF(AND(ISNUMBER(F388),H388&lt;&gt;"Компания"),D388+L388,0))</f>
        <v/>
      </c>
      <c r="N388" s="21">
        <f>SUMPRODUCT(MAX((Брони!$B$2:$B$500=B388)*((Брони!$F$2:$F$500="Выдана")+(Брони!$F$2:$F$500="Возвращена"))*(Брони!$D$2:$D$500&lt;=A388)*Брони!$D$2:$D$500))</f>
        <v/>
      </c>
      <c r="O388" s="19">
        <f>SUMPRODUCT((Брони!$B$2:$B$500=B388)*(Брони!$D$2:$D$500=N388)*((((Брони!$F$2:$F$500="Выдана")*NOW())+((Брони!$F$2:$F$500="Возвращена")*Брони!$E$2:$E$500))&gt;=A388)*Брони!$A$2:$A$500)</f>
        <v/>
      </c>
      <c r="P388" s="19">
        <f>SUMPRODUCT((Брони!$B$2:$B$500=B388)*(Брони!$D$2:$D$500=N388)*(((Брони!$F$2:$F$500="Выдана")+(Брони!$F$2:$F$500="Возвращена"))))</f>
        <v/>
      </c>
      <c r="Q388" s="10" t="n"/>
    </row>
    <row r="389">
      <c r="A389" s="11" t="n"/>
      <c r="B389" s="10" t="n"/>
      <c r="C389" s="10" t="n"/>
      <c r="D389" s="14" t="n"/>
      <c r="E389" s="10" t="n"/>
      <c r="F389" s="20">
        <f>IF(OR(A389="",B389=""),"",IF(OR(NOT(ISNUMBER(A389)),ISERROR(N389+O389+P389)),"Проверьте даты",IF(AND(N389&gt;0,P389&gt;1),"Дубль",IF(AND(N389&gt;0,O389&gt;0),O389,"Вне аренды"))))</f>
        <v/>
      </c>
      <c r="G389" s="12">
        <f>IF(ISNUMBER(F389),IFERROR(INDEX(Брони!$C$2:$C$500,MATCH(F389,Брони!$A$2:$A$500,0)),""),"")</f>
        <v/>
      </c>
      <c r="H389" s="10" t="n"/>
      <c r="I389" s="18" t="n"/>
      <c r="J389" s="12">
        <f>IF(AND(ISNUMBER(F389),I389&lt;&gt;""),IFERROR(IF(AND(INDEX(Брони!$F$2:$F$500,MATCH(F389,Брони!$A$2:$A$500,0))="Возвращена",I389&gt;INDEX(Брони!$E$2:$E$500,MATCH(F389,Брони!$A$2:$A$500,0))),"Да",""),""),"")</f>
        <v/>
      </c>
      <c r="K389" s="10" t="n"/>
      <c r="L389" s="14" t="n"/>
      <c r="M389" s="15">
        <f>IF(OR(A389="",B389=""),"",IF(AND(ISNUMBER(F389),H389&lt;&gt;"Компания"),D389+L389,0))</f>
        <v/>
      </c>
      <c r="N389" s="21">
        <f>SUMPRODUCT(MAX((Брони!$B$2:$B$500=B389)*((Брони!$F$2:$F$500="Выдана")+(Брони!$F$2:$F$500="Возвращена"))*(Брони!$D$2:$D$500&lt;=A389)*Брони!$D$2:$D$500))</f>
        <v/>
      </c>
      <c r="O389" s="19">
        <f>SUMPRODUCT((Брони!$B$2:$B$500=B389)*(Брони!$D$2:$D$500=N389)*((((Брони!$F$2:$F$500="Выдана")*NOW())+((Брони!$F$2:$F$500="Возвращена")*Брони!$E$2:$E$500))&gt;=A389)*Брони!$A$2:$A$500)</f>
        <v/>
      </c>
      <c r="P389" s="19">
        <f>SUMPRODUCT((Брони!$B$2:$B$500=B389)*(Брони!$D$2:$D$500=N389)*(((Брони!$F$2:$F$500="Выдана")+(Брони!$F$2:$F$500="Возвращена"))))</f>
        <v/>
      </c>
      <c r="Q389" s="10" t="n"/>
    </row>
    <row r="390">
      <c r="A390" s="11" t="n"/>
      <c r="B390" s="10" t="n"/>
      <c r="C390" s="10" t="n"/>
      <c r="D390" s="14" t="n"/>
      <c r="E390" s="10" t="n"/>
      <c r="F390" s="20">
        <f>IF(OR(A390="",B390=""),"",IF(OR(NOT(ISNUMBER(A390)),ISERROR(N390+O390+P390)),"Проверьте даты",IF(AND(N390&gt;0,P390&gt;1),"Дубль",IF(AND(N390&gt;0,O390&gt;0),O390,"Вне аренды"))))</f>
        <v/>
      </c>
      <c r="G390" s="12">
        <f>IF(ISNUMBER(F390),IFERROR(INDEX(Брони!$C$2:$C$500,MATCH(F390,Брони!$A$2:$A$500,0)),""),"")</f>
        <v/>
      </c>
      <c r="H390" s="10" t="n"/>
      <c r="I390" s="18" t="n"/>
      <c r="J390" s="12">
        <f>IF(AND(ISNUMBER(F390),I390&lt;&gt;""),IFERROR(IF(AND(INDEX(Брони!$F$2:$F$500,MATCH(F390,Брони!$A$2:$A$500,0))="Возвращена",I390&gt;INDEX(Брони!$E$2:$E$500,MATCH(F390,Брони!$A$2:$A$500,0))),"Да",""),""),"")</f>
        <v/>
      </c>
      <c r="K390" s="10" t="n"/>
      <c r="L390" s="14" t="n"/>
      <c r="M390" s="15">
        <f>IF(OR(A390="",B390=""),"",IF(AND(ISNUMBER(F390),H390&lt;&gt;"Компания"),D390+L390,0))</f>
        <v/>
      </c>
      <c r="N390" s="21">
        <f>SUMPRODUCT(MAX((Брони!$B$2:$B$500=B390)*((Брони!$F$2:$F$500="Выдана")+(Брони!$F$2:$F$500="Возвращена"))*(Брони!$D$2:$D$500&lt;=A390)*Брони!$D$2:$D$500))</f>
        <v/>
      </c>
      <c r="O390" s="19">
        <f>SUMPRODUCT((Брони!$B$2:$B$500=B390)*(Брони!$D$2:$D$500=N390)*((((Брони!$F$2:$F$500="Выдана")*NOW())+((Брони!$F$2:$F$500="Возвращена")*Брони!$E$2:$E$500))&gt;=A390)*Брони!$A$2:$A$500)</f>
        <v/>
      </c>
      <c r="P390" s="19">
        <f>SUMPRODUCT((Брони!$B$2:$B$500=B390)*(Брони!$D$2:$D$500=N390)*(((Брони!$F$2:$F$500="Выдана")+(Брони!$F$2:$F$500="Возвращена"))))</f>
        <v/>
      </c>
      <c r="Q390" s="10" t="n"/>
    </row>
    <row r="391">
      <c r="A391" s="11" t="n"/>
      <c r="B391" s="10" t="n"/>
      <c r="C391" s="10" t="n"/>
      <c r="D391" s="14" t="n"/>
      <c r="E391" s="10" t="n"/>
      <c r="F391" s="20">
        <f>IF(OR(A391="",B391=""),"",IF(OR(NOT(ISNUMBER(A391)),ISERROR(N391+O391+P391)),"Проверьте даты",IF(AND(N391&gt;0,P391&gt;1),"Дубль",IF(AND(N391&gt;0,O391&gt;0),O391,"Вне аренды"))))</f>
        <v/>
      </c>
      <c r="G391" s="12">
        <f>IF(ISNUMBER(F391),IFERROR(INDEX(Брони!$C$2:$C$500,MATCH(F391,Брони!$A$2:$A$500,0)),""),"")</f>
        <v/>
      </c>
      <c r="H391" s="10" t="n"/>
      <c r="I391" s="18" t="n"/>
      <c r="J391" s="12">
        <f>IF(AND(ISNUMBER(F391),I391&lt;&gt;""),IFERROR(IF(AND(INDEX(Брони!$F$2:$F$500,MATCH(F391,Брони!$A$2:$A$500,0))="Возвращена",I391&gt;INDEX(Брони!$E$2:$E$500,MATCH(F391,Брони!$A$2:$A$500,0))),"Да",""),""),"")</f>
        <v/>
      </c>
      <c r="K391" s="10" t="n"/>
      <c r="L391" s="14" t="n"/>
      <c r="M391" s="15">
        <f>IF(OR(A391="",B391=""),"",IF(AND(ISNUMBER(F391),H391&lt;&gt;"Компания"),D391+L391,0))</f>
        <v/>
      </c>
      <c r="N391" s="21">
        <f>SUMPRODUCT(MAX((Брони!$B$2:$B$500=B391)*((Брони!$F$2:$F$500="Выдана")+(Брони!$F$2:$F$500="Возвращена"))*(Брони!$D$2:$D$500&lt;=A391)*Брони!$D$2:$D$500))</f>
        <v/>
      </c>
      <c r="O391" s="19">
        <f>SUMPRODUCT((Брони!$B$2:$B$500=B391)*(Брони!$D$2:$D$500=N391)*((((Брони!$F$2:$F$500="Выдана")*NOW())+((Брони!$F$2:$F$500="Возвращена")*Брони!$E$2:$E$500))&gt;=A391)*Брони!$A$2:$A$500)</f>
        <v/>
      </c>
      <c r="P391" s="19">
        <f>SUMPRODUCT((Брони!$B$2:$B$500=B391)*(Брони!$D$2:$D$500=N391)*(((Брони!$F$2:$F$500="Выдана")+(Брони!$F$2:$F$500="Возвращена"))))</f>
        <v/>
      </c>
      <c r="Q391" s="10" t="n"/>
    </row>
    <row r="392">
      <c r="A392" s="11" t="n"/>
      <c r="B392" s="10" t="n"/>
      <c r="C392" s="10" t="n"/>
      <c r="D392" s="14" t="n"/>
      <c r="E392" s="10" t="n"/>
      <c r="F392" s="20">
        <f>IF(OR(A392="",B392=""),"",IF(OR(NOT(ISNUMBER(A392)),ISERROR(N392+O392+P392)),"Проверьте даты",IF(AND(N392&gt;0,P392&gt;1),"Дубль",IF(AND(N392&gt;0,O392&gt;0),O392,"Вне аренды"))))</f>
        <v/>
      </c>
      <c r="G392" s="12">
        <f>IF(ISNUMBER(F392),IFERROR(INDEX(Брони!$C$2:$C$500,MATCH(F392,Брони!$A$2:$A$500,0)),""),"")</f>
        <v/>
      </c>
      <c r="H392" s="10" t="n"/>
      <c r="I392" s="18" t="n"/>
      <c r="J392" s="12">
        <f>IF(AND(ISNUMBER(F392),I392&lt;&gt;""),IFERROR(IF(AND(INDEX(Брони!$F$2:$F$500,MATCH(F392,Брони!$A$2:$A$500,0))="Возвращена",I392&gt;INDEX(Брони!$E$2:$E$500,MATCH(F392,Брони!$A$2:$A$500,0))),"Да",""),""),"")</f>
        <v/>
      </c>
      <c r="K392" s="10" t="n"/>
      <c r="L392" s="14" t="n"/>
      <c r="M392" s="15">
        <f>IF(OR(A392="",B392=""),"",IF(AND(ISNUMBER(F392),H392&lt;&gt;"Компания"),D392+L392,0))</f>
        <v/>
      </c>
      <c r="N392" s="21">
        <f>SUMPRODUCT(MAX((Брони!$B$2:$B$500=B392)*((Брони!$F$2:$F$500="Выдана")+(Брони!$F$2:$F$500="Возвращена"))*(Брони!$D$2:$D$500&lt;=A392)*Брони!$D$2:$D$500))</f>
        <v/>
      </c>
      <c r="O392" s="19">
        <f>SUMPRODUCT((Брони!$B$2:$B$500=B392)*(Брони!$D$2:$D$500=N392)*((((Брони!$F$2:$F$500="Выдана")*NOW())+((Брони!$F$2:$F$500="Возвращена")*Брони!$E$2:$E$500))&gt;=A392)*Брони!$A$2:$A$500)</f>
        <v/>
      </c>
      <c r="P392" s="19">
        <f>SUMPRODUCT((Брони!$B$2:$B$500=B392)*(Брони!$D$2:$D$500=N392)*(((Брони!$F$2:$F$500="Выдана")+(Брони!$F$2:$F$500="Возвращена"))))</f>
        <v/>
      </c>
      <c r="Q392" s="10" t="n"/>
    </row>
    <row r="393">
      <c r="A393" s="11" t="n"/>
      <c r="B393" s="10" t="n"/>
      <c r="C393" s="10" t="n"/>
      <c r="D393" s="14" t="n"/>
      <c r="E393" s="10" t="n"/>
      <c r="F393" s="20">
        <f>IF(OR(A393="",B393=""),"",IF(OR(NOT(ISNUMBER(A393)),ISERROR(N393+O393+P393)),"Проверьте даты",IF(AND(N393&gt;0,P393&gt;1),"Дубль",IF(AND(N393&gt;0,O393&gt;0),O393,"Вне аренды"))))</f>
        <v/>
      </c>
      <c r="G393" s="12">
        <f>IF(ISNUMBER(F393),IFERROR(INDEX(Брони!$C$2:$C$500,MATCH(F393,Брони!$A$2:$A$500,0)),""),"")</f>
        <v/>
      </c>
      <c r="H393" s="10" t="n"/>
      <c r="I393" s="18" t="n"/>
      <c r="J393" s="12">
        <f>IF(AND(ISNUMBER(F393),I393&lt;&gt;""),IFERROR(IF(AND(INDEX(Брони!$F$2:$F$500,MATCH(F393,Брони!$A$2:$A$500,0))="Возвращена",I393&gt;INDEX(Брони!$E$2:$E$500,MATCH(F393,Брони!$A$2:$A$500,0))),"Да",""),""),"")</f>
        <v/>
      </c>
      <c r="K393" s="10" t="n"/>
      <c r="L393" s="14" t="n"/>
      <c r="M393" s="15">
        <f>IF(OR(A393="",B393=""),"",IF(AND(ISNUMBER(F393),H393&lt;&gt;"Компания"),D393+L393,0))</f>
        <v/>
      </c>
      <c r="N393" s="21">
        <f>SUMPRODUCT(MAX((Брони!$B$2:$B$500=B393)*((Брони!$F$2:$F$500="Выдана")+(Брони!$F$2:$F$500="Возвращена"))*(Брони!$D$2:$D$500&lt;=A393)*Брони!$D$2:$D$500))</f>
        <v/>
      </c>
      <c r="O393" s="19">
        <f>SUMPRODUCT((Брони!$B$2:$B$500=B393)*(Брони!$D$2:$D$500=N393)*((((Брони!$F$2:$F$500="Выдана")*NOW())+((Брони!$F$2:$F$500="Возвращена")*Брони!$E$2:$E$500))&gt;=A393)*Брони!$A$2:$A$500)</f>
        <v/>
      </c>
      <c r="P393" s="19">
        <f>SUMPRODUCT((Брони!$B$2:$B$500=B393)*(Брони!$D$2:$D$500=N393)*(((Брони!$F$2:$F$500="Выдана")+(Брони!$F$2:$F$500="Возвращена"))))</f>
        <v/>
      </c>
      <c r="Q393" s="10" t="n"/>
    </row>
    <row r="394">
      <c r="A394" s="11" t="n"/>
      <c r="B394" s="10" t="n"/>
      <c r="C394" s="10" t="n"/>
      <c r="D394" s="14" t="n"/>
      <c r="E394" s="10" t="n"/>
      <c r="F394" s="20">
        <f>IF(OR(A394="",B394=""),"",IF(OR(NOT(ISNUMBER(A394)),ISERROR(N394+O394+P394)),"Проверьте даты",IF(AND(N394&gt;0,P394&gt;1),"Дубль",IF(AND(N394&gt;0,O394&gt;0),O394,"Вне аренды"))))</f>
        <v/>
      </c>
      <c r="G394" s="12">
        <f>IF(ISNUMBER(F394),IFERROR(INDEX(Брони!$C$2:$C$500,MATCH(F394,Брони!$A$2:$A$500,0)),""),"")</f>
        <v/>
      </c>
      <c r="H394" s="10" t="n"/>
      <c r="I394" s="18" t="n"/>
      <c r="J394" s="12">
        <f>IF(AND(ISNUMBER(F394),I394&lt;&gt;""),IFERROR(IF(AND(INDEX(Брони!$F$2:$F$500,MATCH(F394,Брони!$A$2:$A$500,0))="Возвращена",I394&gt;INDEX(Брони!$E$2:$E$500,MATCH(F394,Брони!$A$2:$A$500,0))),"Да",""),""),"")</f>
        <v/>
      </c>
      <c r="K394" s="10" t="n"/>
      <c r="L394" s="14" t="n"/>
      <c r="M394" s="15">
        <f>IF(OR(A394="",B394=""),"",IF(AND(ISNUMBER(F394),H394&lt;&gt;"Компания"),D394+L394,0))</f>
        <v/>
      </c>
      <c r="N394" s="21">
        <f>SUMPRODUCT(MAX((Брони!$B$2:$B$500=B394)*((Брони!$F$2:$F$500="Выдана")+(Брони!$F$2:$F$500="Возвращена"))*(Брони!$D$2:$D$500&lt;=A394)*Брони!$D$2:$D$500))</f>
        <v/>
      </c>
      <c r="O394" s="19">
        <f>SUMPRODUCT((Брони!$B$2:$B$500=B394)*(Брони!$D$2:$D$500=N394)*((((Брони!$F$2:$F$500="Выдана")*NOW())+((Брони!$F$2:$F$500="Возвращена")*Брони!$E$2:$E$500))&gt;=A394)*Брони!$A$2:$A$500)</f>
        <v/>
      </c>
      <c r="P394" s="19">
        <f>SUMPRODUCT((Брони!$B$2:$B$500=B394)*(Брони!$D$2:$D$500=N394)*(((Брони!$F$2:$F$500="Выдана")+(Брони!$F$2:$F$500="Возвращена"))))</f>
        <v/>
      </c>
      <c r="Q394" s="10" t="n"/>
    </row>
    <row r="395">
      <c r="A395" s="11" t="n"/>
      <c r="B395" s="10" t="n"/>
      <c r="C395" s="10" t="n"/>
      <c r="D395" s="14" t="n"/>
      <c r="E395" s="10" t="n"/>
      <c r="F395" s="20">
        <f>IF(OR(A395="",B395=""),"",IF(OR(NOT(ISNUMBER(A395)),ISERROR(N395+O395+P395)),"Проверьте даты",IF(AND(N395&gt;0,P395&gt;1),"Дубль",IF(AND(N395&gt;0,O395&gt;0),O395,"Вне аренды"))))</f>
        <v/>
      </c>
      <c r="G395" s="12">
        <f>IF(ISNUMBER(F395),IFERROR(INDEX(Брони!$C$2:$C$500,MATCH(F395,Брони!$A$2:$A$500,0)),""),"")</f>
        <v/>
      </c>
      <c r="H395" s="10" t="n"/>
      <c r="I395" s="18" t="n"/>
      <c r="J395" s="12">
        <f>IF(AND(ISNUMBER(F395),I395&lt;&gt;""),IFERROR(IF(AND(INDEX(Брони!$F$2:$F$500,MATCH(F395,Брони!$A$2:$A$500,0))="Возвращена",I395&gt;INDEX(Брони!$E$2:$E$500,MATCH(F395,Брони!$A$2:$A$500,0))),"Да",""),""),"")</f>
        <v/>
      </c>
      <c r="K395" s="10" t="n"/>
      <c r="L395" s="14" t="n"/>
      <c r="M395" s="15">
        <f>IF(OR(A395="",B395=""),"",IF(AND(ISNUMBER(F395),H395&lt;&gt;"Компания"),D395+L395,0))</f>
        <v/>
      </c>
      <c r="N395" s="21">
        <f>SUMPRODUCT(MAX((Брони!$B$2:$B$500=B395)*((Брони!$F$2:$F$500="Выдана")+(Брони!$F$2:$F$500="Возвращена"))*(Брони!$D$2:$D$500&lt;=A395)*Брони!$D$2:$D$500))</f>
        <v/>
      </c>
      <c r="O395" s="19">
        <f>SUMPRODUCT((Брони!$B$2:$B$500=B395)*(Брони!$D$2:$D$500=N395)*((((Брони!$F$2:$F$500="Выдана")*NOW())+((Брони!$F$2:$F$500="Возвращена")*Брони!$E$2:$E$500))&gt;=A395)*Брони!$A$2:$A$500)</f>
        <v/>
      </c>
      <c r="P395" s="19">
        <f>SUMPRODUCT((Брони!$B$2:$B$500=B395)*(Брони!$D$2:$D$500=N395)*(((Брони!$F$2:$F$500="Выдана")+(Брони!$F$2:$F$500="Возвращена"))))</f>
        <v/>
      </c>
      <c r="Q395" s="10" t="n"/>
    </row>
    <row r="396">
      <c r="A396" s="11" t="n"/>
      <c r="B396" s="10" t="n"/>
      <c r="C396" s="10" t="n"/>
      <c r="D396" s="14" t="n"/>
      <c r="E396" s="10" t="n"/>
      <c r="F396" s="20">
        <f>IF(OR(A396="",B396=""),"",IF(OR(NOT(ISNUMBER(A396)),ISERROR(N396+O396+P396)),"Проверьте даты",IF(AND(N396&gt;0,P396&gt;1),"Дубль",IF(AND(N396&gt;0,O396&gt;0),O396,"Вне аренды"))))</f>
        <v/>
      </c>
      <c r="G396" s="12">
        <f>IF(ISNUMBER(F396),IFERROR(INDEX(Брони!$C$2:$C$500,MATCH(F396,Брони!$A$2:$A$500,0)),""),"")</f>
        <v/>
      </c>
      <c r="H396" s="10" t="n"/>
      <c r="I396" s="18" t="n"/>
      <c r="J396" s="12">
        <f>IF(AND(ISNUMBER(F396),I396&lt;&gt;""),IFERROR(IF(AND(INDEX(Брони!$F$2:$F$500,MATCH(F396,Брони!$A$2:$A$500,0))="Возвращена",I396&gt;INDEX(Брони!$E$2:$E$500,MATCH(F396,Брони!$A$2:$A$500,0))),"Да",""),""),"")</f>
        <v/>
      </c>
      <c r="K396" s="10" t="n"/>
      <c r="L396" s="14" t="n"/>
      <c r="M396" s="15">
        <f>IF(OR(A396="",B396=""),"",IF(AND(ISNUMBER(F396),H396&lt;&gt;"Компания"),D396+L396,0))</f>
        <v/>
      </c>
      <c r="N396" s="21">
        <f>SUMPRODUCT(MAX((Брони!$B$2:$B$500=B396)*((Брони!$F$2:$F$500="Выдана")+(Брони!$F$2:$F$500="Возвращена"))*(Брони!$D$2:$D$500&lt;=A396)*Брони!$D$2:$D$500))</f>
        <v/>
      </c>
      <c r="O396" s="19">
        <f>SUMPRODUCT((Брони!$B$2:$B$500=B396)*(Брони!$D$2:$D$500=N396)*((((Брони!$F$2:$F$500="Выдана")*NOW())+((Брони!$F$2:$F$500="Возвращена")*Брони!$E$2:$E$500))&gt;=A396)*Брони!$A$2:$A$500)</f>
        <v/>
      </c>
      <c r="P396" s="19">
        <f>SUMPRODUCT((Брони!$B$2:$B$500=B396)*(Брони!$D$2:$D$500=N396)*(((Брони!$F$2:$F$500="Выдана")+(Брони!$F$2:$F$500="Возвращена"))))</f>
        <v/>
      </c>
      <c r="Q396" s="10" t="n"/>
    </row>
    <row r="397">
      <c r="A397" s="11" t="n"/>
      <c r="B397" s="10" t="n"/>
      <c r="C397" s="10" t="n"/>
      <c r="D397" s="14" t="n"/>
      <c r="E397" s="10" t="n"/>
      <c r="F397" s="20">
        <f>IF(OR(A397="",B397=""),"",IF(OR(NOT(ISNUMBER(A397)),ISERROR(N397+O397+P397)),"Проверьте даты",IF(AND(N397&gt;0,P397&gt;1),"Дубль",IF(AND(N397&gt;0,O397&gt;0),O397,"Вне аренды"))))</f>
        <v/>
      </c>
      <c r="G397" s="12">
        <f>IF(ISNUMBER(F397),IFERROR(INDEX(Брони!$C$2:$C$500,MATCH(F397,Брони!$A$2:$A$500,0)),""),"")</f>
        <v/>
      </c>
      <c r="H397" s="10" t="n"/>
      <c r="I397" s="18" t="n"/>
      <c r="J397" s="12">
        <f>IF(AND(ISNUMBER(F397),I397&lt;&gt;""),IFERROR(IF(AND(INDEX(Брони!$F$2:$F$500,MATCH(F397,Брони!$A$2:$A$500,0))="Возвращена",I397&gt;INDEX(Брони!$E$2:$E$500,MATCH(F397,Брони!$A$2:$A$500,0))),"Да",""),""),"")</f>
        <v/>
      </c>
      <c r="K397" s="10" t="n"/>
      <c r="L397" s="14" t="n"/>
      <c r="M397" s="15">
        <f>IF(OR(A397="",B397=""),"",IF(AND(ISNUMBER(F397),H397&lt;&gt;"Компания"),D397+L397,0))</f>
        <v/>
      </c>
      <c r="N397" s="21">
        <f>SUMPRODUCT(MAX((Брони!$B$2:$B$500=B397)*((Брони!$F$2:$F$500="Выдана")+(Брони!$F$2:$F$500="Возвращена"))*(Брони!$D$2:$D$500&lt;=A397)*Брони!$D$2:$D$500))</f>
        <v/>
      </c>
      <c r="O397" s="19">
        <f>SUMPRODUCT((Брони!$B$2:$B$500=B397)*(Брони!$D$2:$D$500=N397)*((((Брони!$F$2:$F$500="Выдана")*NOW())+((Брони!$F$2:$F$500="Возвращена")*Брони!$E$2:$E$500))&gt;=A397)*Брони!$A$2:$A$500)</f>
        <v/>
      </c>
      <c r="P397" s="19">
        <f>SUMPRODUCT((Брони!$B$2:$B$500=B397)*(Брони!$D$2:$D$500=N397)*(((Брони!$F$2:$F$500="Выдана")+(Брони!$F$2:$F$500="Возвращена"))))</f>
        <v/>
      </c>
      <c r="Q397" s="10" t="n"/>
    </row>
    <row r="398">
      <c r="A398" s="11" t="n"/>
      <c r="B398" s="10" t="n"/>
      <c r="C398" s="10" t="n"/>
      <c r="D398" s="14" t="n"/>
      <c r="E398" s="10" t="n"/>
      <c r="F398" s="20">
        <f>IF(OR(A398="",B398=""),"",IF(OR(NOT(ISNUMBER(A398)),ISERROR(N398+O398+P398)),"Проверьте даты",IF(AND(N398&gt;0,P398&gt;1),"Дубль",IF(AND(N398&gt;0,O398&gt;0),O398,"Вне аренды"))))</f>
        <v/>
      </c>
      <c r="G398" s="12">
        <f>IF(ISNUMBER(F398),IFERROR(INDEX(Брони!$C$2:$C$500,MATCH(F398,Брони!$A$2:$A$500,0)),""),"")</f>
        <v/>
      </c>
      <c r="H398" s="10" t="n"/>
      <c r="I398" s="18" t="n"/>
      <c r="J398" s="12">
        <f>IF(AND(ISNUMBER(F398),I398&lt;&gt;""),IFERROR(IF(AND(INDEX(Брони!$F$2:$F$500,MATCH(F398,Брони!$A$2:$A$500,0))="Возвращена",I398&gt;INDEX(Брони!$E$2:$E$500,MATCH(F398,Брони!$A$2:$A$500,0))),"Да",""),""),"")</f>
        <v/>
      </c>
      <c r="K398" s="10" t="n"/>
      <c r="L398" s="14" t="n"/>
      <c r="M398" s="15">
        <f>IF(OR(A398="",B398=""),"",IF(AND(ISNUMBER(F398),H398&lt;&gt;"Компания"),D398+L398,0))</f>
        <v/>
      </c>
      <c r="N398" s="21">
        <f>SUMPRODUCT(MAX((Брони!$B$2:$B$500=B398)*((Брони!$F$2:$F$500="Выдана")+(Брони!$F$2:$F$500="Возвращена"))*(Брони!$D$2:$D$500&lt;=A398)*Брони!$D$2:$D$500))</f>
        <v/>
      </c>
      <c r="O398" s="19">
        <f>SUMPRODUCT((Брони!$B$2:$B$500=B398)*(Брони!$D$2:$D$500=N398)*((((Брони!$F$2:$F$500="Выдана")*NOW())+((Брони!$F$2:$F$500="Возвращена")*Брони!$E$2:$E$500))&gt;=A398)*Брони!$A$2:$A$500)</f>
        <v/>
      </c>
      <c r="P398" s="19">
        <f>SUMPRODUCT((Брони!$B$2:$B$500=B398)*(Брони!$D$2:$D$500=N398)*(((Брони!$F$2:$F$500="Выдана")+(Брони!$F$2:$F$500="Возвращена"))))</f>
        <v/>
      </c>
      <c r="Q398" s="10" t="n"/>
    </row>
    <row r="399">
      <c r="A399" s="11" t="n"/>
      <c r="B399" s="10" t="n"/>
      <c r="C399" s="10" t="n"/>
      <c r="D399" s="14" t="n"/>
      <c r="E399" s="10" t="n"/>
      <c r="F399" s="20">
        <f>IF(OR(A399="",B399=""),"",IF(OR(NOT(ISNUMBER(A399)),ISERROR(N399+O399+P399)),"Проверьте даты",IF(AND(N399&gt;0,P399&gt;1),"Дубль",IF(AND(N399&gt;0,O399&gt;0),O399,"Вне аренды"))))</f>
        <v/>
      </c>
      <c r="G399" s="12">
        <f>IF(ISNUMBER(F399),IFERROR(INDEX(Брони!$C$2:$C$500,MATCH(F399,Брони!$A$2:$A$500,0)),""),"")</f>
        <v/>
      </c>
      <c r="H399" s="10" t="n"/>
      <c r="I399" s="18" t="n"/>
      <c r="J399" s="12">
        <f>IF(AND(ISNUMBER(F399),I399&lt;&gt;""),IFERROR(IF(AND(INDEX(Брони!$F$2:$F$500,MATCH(F399,Брони!$A$2:$A$500,0))="Возвращена",I399&gt;INDEX(Брони!$E$2:$E$500,MATCH(F399,Брони!$A$2:$A$500,0))),"Да",""),""),"")</f>
        <v/>
      </c>
      <c r="K399" s="10" t="n"/>
      <c r="L399" s="14" t="n"/>
      <c r="M399" s="15">
        <f>IF(OR(A399="",B399=""),"",IF(AND(ISNUMBER(F399),H399&lt;&gt;"Компания"),D399+L399,0))</f>
        <v/>
      </c>
      <c r="N399" s="21">
        <f>SUMPRODUCT(MAX((Брони!$B$2:$B$500=B399)*((Брони!$F$2:$F$500="Выдана")+(Брони!$F$2:$F$500="Возвращена"))*(Брони!$D$2:$D$500&lt;=A399)*Брони!$D$2:$D$500))</f>
        <v/>
      </c>
      <c r="O399" s="19">
        <f>SUMPRODUCT((Брони!$B$2:$B$500=B399)*(Брони!$D$2:$D$500=N399)*((((Брони!$F$2:$F$500="Выдана")*NOW())+((Брони!$F$2:$F$500="Возвращена")*Брони!$E$2:$E$500))&gt;=A399)*Брони!$A$2:$A$500)</f>
        <v/>
      </c>
      <c r="P399" s="19">
        <f>SUMPRODUCT((Брони!$B$2:$B$500=B399)*(Брони!$D$2:$D$500=N399)*(((Брони!$F$2:$F$500="Выдана")+(Брони!$F$2:$F$500="Возвращена"))))</f>
        <v/>
      </c>
      <c r="Q399" s="10" t="n"/>
    </row>
    <row r="400">
      <c r="A400" s="11" t="n"/>
      <c r="B400" s="10" t="n"/>
      <c r="C400" s="10" t="n"/>
      <c r="D400" s="14" t="n"/>
      <c r="E400" s="10" t="n"/>
      <c r="F400" s="20">
        <f>IF(OR(A400="",B400=""),"",IF(OR(NOT(ISNUMBER(A400)),ISERROR(N400+O400+P400)),"Проверьте даты",IF(AND(N400&gt;0,P400&gt;1),"Дубль",IF(AND(N400&gt;0,O400&gt;0),O400,"Вне аренды"))))</f>
        <v/>
      </c>
      <c r="G400" s="12">
        <f>IF(ISNUMBER(F400),IFERROR(INDEX(Брони!$C$2:$C$500,MATCH(F400,Брони!$A$2:$A$500,0)),""),"")</f>
        <v/>
      </c>
      <c r="H400" s="10" t="n"/>
      <c r="I400" s="18" t="n"/>
      <c r="J400" s="12">
        <f>IF(AND(ISNUMBER(F400),I400&lt;&gt;""),IFERROR(IF(AND(INDEX(Брони!$F$2:$F$500,MATCH(F400,Брони!$A$2:$A$500,0))="Возвращена",I400&gt;INDEX(Брони!$E$2:$E$500,MATCH(F400,Брони!$A$2:$A$500,0))),"Да",""),""),"")</f>
        <v/>
      </c>
      <c r="K400" s="10" t="n"/>
      <c r="L400" s="14" t="n"/>
      <c r="M400" s="15">
        <f>IF(OR(A400="",B400=""),"",IF(AND(ISNUMBER(F400),H400&lt;&gt;"Компания"),D400+L400,0))</f>
        <v/>
      </c>
      <c r="N400" s="21">
        <f>SUMPRODUCT(MAX((Брони!$B$2:$B$500=B400)*((Брони!$F$2:$F$500="Выдана")+(Брони!$F$2:$F$500="Возвращена"))*(Брони!$D$2:$D$500&lt;=A400)*Брони!$D$2:$D$500))</f>
        <v/>
      </c>
      <c r="O400" s="19">
        <f>SUMPRODUCT((Брони!$B$2:$B$500=B400)*(Брони!$D$2:$D$500=N400)*((((Брони!$F$2:$F$500="Выдана")*NOW())+((Брони!$F$2:$F$500="Возвращена")*Брони!$E$2:$E$500))&gt;=A400)*Брони!$A$2:$A$500)</f>
        <v/>
      </c>
      <c r="P400" s="19">
        <f>SUMPRODUCT((Брони!$B$2:$B$500=B400)*(Брони!$D$2:$D$500=N400)*(((Брони!$F$2:$F$500="Выдана")+(Брони!$F$2:$F$500="Возвращена"))))</f>
        <v/>
      </c>
      <c r="Q400" s="10" t="n"/>
    </row>
    <row r="401">
      <c r="A401" s="11" t="n"/>
      <c r="B401" s="10" t="n"/>
      <c r="C401" s="10" t="n"/>
      <c r="D401" s="14" t="n"/>
      <c r="E401" s="10" t="n"/>
      <c r="F401" s="20">
        <f>IF(OR(A401="",B401=""),"",IF(OR(NOT(ISNUMBER(A401)),ISERROR(N401+O401+P401)),"Проверьте даты",IF(AND(N401&gt;0,P401&gt;1),"Дубль",IF(AND(N401&gt;0,O401&gt;0),O401,"Вне аренды"))))</f>
        <v/>
      </c>
      <c r="G401" s="12">
        <f>IF(ISNUMBER(F401),IFERROR(INDEX(Брони!$C$2:$C$500,MATCH(F401,Брони!$A$2:$A$500,0)),""),"")</f>
        <v/>
      </c>
      <c r="H401" s="10" t="n"/>
      <c r="I401" s="18" t="n"/>
      <c r="J401" s="12">
        <f>IF(AND(ISNUMBER(F401),I401&lt;&gt;""),IFERROR(IF(AND(INDEX(Брони!$F$2:$F$500,MATCH(F401,Брони!$A$2:$A$500,0))="Возвращена",I401&gt;INDEX(Брони!$E$2:$E$500,MATCH(F401,Брони!$A$2:$A$500,0))),"Да",""),""),"")</f>
        <v/>
      </c>
      <c r="K401" s="10" t="n"/>
      <c r="L401" s="14" t="n"/>
      <c r="M401" s="15">
        <f>IF(OR(A401="",B401=""),"",IF(AND(ISNUMBER(F401),H401&lt;&gt;"Компания"),D401+L401,0))</f>
        <v/>
      </c>
      <c r="N401" s="21">
        <f>SUMPRODUCT(MAX((Брони!$B$2:$B$500=B401)*((Брони!$F$2:$F$500="Выдана")+(Брони!$F$2:$F$500="Возвращена"))*(Брони!$D$2:$D$500&lt;=A401)*Брони!$D$2:$D$500))</f>
        <v/>
      </c>
      <c r="O401" s="19">
        <f>SUMPRODUCT((Брони!$B$2:$B$500=B401)*(Брони!$D$2:$D$500=N401)*((((Брони!$F$2:$F$500="Выдана")*NOW())+((Брони!$F$2:$F$500="Возвращена")*Брони!$E$2:$E$500))&gt;=A401)*Брони!$A$2:$A$500)</f>
        <v/>
      </c>
      <c r="P401" s="19">
        <f>SUMPRODUCT((Брони!$B$2:$B$500=B401)*(Брони!$D$2:$D$500=N401)*(((Брони!$F$2:$F$500="Выдана")+(Брони!$F$2:$F$500="Возвращена"))))</f>
        <v/>
      </c>
      <c r="Q401" s="10" t="n"/>
    </row>
    <row r="402">
      <c r="A402" s="11" t="n"/>
      <c r="B402" s="10" t="n"/>
      <c r="C402" s="10" t="n"/>
      <c r="D402" s="14" t="n"/>
      <c r="E402" s="10" t="n"/>
      <c r="F402" s="20">
        <f>IF(OR(A402="",B402=""),"",IF(OR(NOT(ISNUMBER(A402)),ISERROR(N402+O402+P402)),"Проверьте даты",IF(AND(N402&gt;0,P402&gt;1),"Дубль",IF(AND(N402&gt;0,O402&gt;0),O402,"Вне аренды"))))</f>
        <v/>
      </c>
      <c r="G402" s="12">
        <f>IF(ISNUMBER(F402),IFERROR(INDEX(Брони!$C$2:$C$500,MATCH(F402,Брони!$A$2:$A$500,0)),""),"")</f>
        <v/>
      </c>
      <c r="H402" s="10" t="n"/>
      <c r="I402" s="18" t="n"/>
      <c r="J402" s="12">
        <f>IF(AND(ISNUMBER(F402),I402&lt;&gt;""),IFERROR(IF(AND(INDEX(Брони!$F$2:$F$500,MATCH(F402,Брони!$A$2:$A$500,0))="Возвращена",I402&gt;INDEX(Брони!$E$2:$E$500,MATCH(F402,Брони!$A$2:$A$500,0))),"Да",""),""),"")</f>
        <v/>
      </c>
      <c r="K402" s="10" t="n"/>
      <c r="L402" s="14" t="n"/>
      <c r="M402" s="15">
        <f>IF(OR(A402="",B402=""),"",IF(AND(ISNUMBER(F402),H402&lt;&gt;"Компания"),D402+L402,0))</f>
        <v/>
      </c>
      <c r="N402" s="21">
        <f>SUMPRODUCT(MAX((Брони!$B$2:$B$500=B402)*((Брони!$F$2:$F$500="Выдана")+(Брони!$F$2:$F$500="Возвращена"))*(Брони!$D$2:$D$500&lt;=A402)*Брони!$D$2:$D$500))</f>
        <v/>
      </c>
      <c r="O402" s="19">
        <f>SUMPRODUCT((Брони!$B$2:$B$500=B402)*(Брони!$D$2:$D$500=N402)*((((Брони!$F$2:$F$500="Выдана")*NOW())+((Брони!$F$2:$F$500="Возвращена")*Брони!$E$2:$E$500))&gt;=A402)*Брони!$A$2:$A$500)</f>
        <v/>
      </c>
      <c r="P402" s="19">
        <f>SUMPRODUCT((Брони!$B$2:$B$500=B402)*(Брони!$D$2:$D$500=N402)*(((Брони!$F$2:$F$500="Выдана")+(Брони!$F$2:$F$500="Возвращена"))))</f>
        <v/>
      </c>
      <c r="Q402" s="10" t="n"/>
    </row>
    <row r="403">
      <c r="A403" s="11" t="n"/>
      <c r="B403" s="10" t="n"/>
      <c r="C403" s="10" t="n"/>
      <c r="D403" s="14" t="n"/>
      <c r="E403" s="10" t="n"/>
      <c r="F403" s="20">
        <f>IF(OR(A403="",B403=""),"",IF(OR(NOT(ISNUMBER(A403)),ISERROR(N403+O403+P403)),"Проверьте даты",IF(AND(N403&gt;0,P403&gt;1),"Дубль",IF(AND(N403&gt;0,O403&gt;0),O403,"Вне аренды"))))</f>
        <v/>
      </c>
      <c r="G403" s="12">
        <f>IF(ISNUMBER(F403),IFERROR(INDEX(Брони!$C$2:$C$500,MATCH(F403,Брони!$A$2:$A$500,0)),""),"")</f>
        <v/>
      </c>
      <c r="H403" s="10" t="n"/>
      <c r="I403" s="18" t="n"/>
      <c r="J403" s="12">
        <f>IF(AND(ISNUMBER(F403),I403&lt;&gt;""),IFERROR(IF(AND(INDEX(Брони!$F$2:$F$500,MATCH(F403,Брони!$A$2:$A$500,0))="Возвращена",I403&gt;INDEX(Брони!$E$2:$E$500,MATCH(F403,Брони!$A$2:$A$500,0))),"Да",""),""),"")</f>
        <v/>
      </c>
      <c r="K403" s="10" t="n"/>
      <c r="L403" s="14" t="n"/>
      <c r="M403" s="15">
        <f>IF(OR(A403="",B403=""),"",IF(AND(ISNUMBER(F403),H403&lt;&gt;"Компания"),D403+L403,0))</f>
        <v/>
      </c>
      <c r="N403" s="21">
        <f>SUMPRODUCT(MAX((Брони!$B$2:$B$500=B403)*((Брони!$F$2:$F$500="Выдана")+(Брони!$F$2:$F$500="Возвращена"))*(Брони!$D$2:$D$500&lt;=A403)*Брони!$D$2:$D$500))</f>
        <v/>
      </c>
      <c r="O403" s="19">
        <f>SUMPRODUCT((Брони!$B$2:$B$500=B403)*(Брони!$D$2:$D$500=N403)*((((Брони!$F$2:$F$500="Выдана")*NOW())+((Брони!$F$2:$F$500="Возвращена")*Брони!$E$2:$E$500))&gt;=A403)*Брони!$A$2:$A$500)</f>
        <v/>
      </c>
      <c r="P403" s="19">
        <f>SUMPRODUCT((Брони!$B$2:$B$500=B403)*(Брони!$D$2:$D$500=N403)*(((Брони!$F$2:$F$500="Выдана")+(Брони!$F$2:$F$500="Возвращена"))))</f>
        <v/>
      </c>
      <c r="Q403" s="10" t="n"/>
    </row>
    <row r="404">
      <c r="A404" s="11" t="n"/>
      <c r="B404" s="10" t="n"/>
      <c r="C404" s="10" t="n"/>
      <c r="D404" s="14" t="n"/>
      <c r="E404" s="10" t="n"/>
      <c r="F404" s="20">
        <f>IF(OR(A404="",B404=""),"",IF(OR(NOT(ISNUMBER(A404)),ISERROR(N404+O404+P404)),"Проверьте даты",IF(AND(N404&gt;0,P404&gt;1),"Дубль",IF(AND(N404&gt;0,O404&gt;0),O404,"Вне аренды"))))</f>
        <v/>
      </c>
      <c r="G404" s="12">
        <f>IF(ISNUMBER(F404),IFERROR(INDEX(Брони!$C$2:$C$500,MATCH(F404,Брони!$A$2:$A$500,0)),""),"")</f>
        <v/>
      </c>
      <c r="H404" s="10" t="n"/>
      <c r="I404" s="18" t="n"/>
      <c r="J404" s="12">
        <f>IF(AND(ISNUMBER(F404),I404&lt;&gt;""),IFERROR(IF(AND(INDEX(Брони!$F$2:$F$500,MATCH(F404,Брони!$A$2:$A$500,0))="Возвращена",I404&gt;INDEX(Брони!$E$2:$E$500,MATCH(F404,Брони!$A$2:$A$500,0))),"Да",""),""),"")</f>
        <v/>
      </c>
      <c r="K404" s="10" t="n"/>
      <c r="L404" s="14" t="n"/>
      <c r="M404" s="15">
        <f>IF(OR(A404="",B404=""),"",IF(AND(ISNUMBER(F404),H404&lt;&gt;"Компания"),D404+L404,0))</f>
        <v/>
      </c>
      <c r="N404" s="21">
        <f>SUMPRODUCT(MAX((Брони!$B$2:$B$500=B404)*((Брони!$F$2:$F$500="Выдана")+(Брони!$F$2:$F$500="Возвращена"))*(Брони!$D$2:$D$500&lt;=A404)*Брони!$D$2:$D$500))</f>
        <v/>
      </c>
      <c r="O404" s="19">
        <f>SUMPRODUCT((Брони!$B$2:$B$500=B404)*(Брони!$D$2:$D$500=N404)*((((Брони!$F$2:$F$500="Выдана")*NOW())+((Брони!$F$2:$F$500="Возвращена")*Брони!$E$2:$E$500))&gt;=A404)*Брони!$A$2:$A$500)</f>
        <v/>
      </c>
      <c r="P404" s="19">
        <f>SUMPRODUCT((Брони!$B$2:$B$500=B404)*(Брони!$D$2:$D$500=N404)*(((Брони!$F$2:$F$500="Выдана")+(Брони!$F$2:$F$500="Возвращена"))))</f>
        <v/>
      </c>
      <c r="Q404" s="10" t="n"/>
    </row>
    <row r="405">
      <c r="A405" s="11" t="n"/>
      <c r="B405" s="10" t="n"/>
      <c r="C405" s="10" t="n"/>
      <c r="D405" s="14" t="n"/>
      <c r="E405" s="10" t="n"/>
      <c r="F405" s="20">
        <f>IF(OR(A405="",B405=""),"",IF(OR(NOT(ISNUMBER(A405)),ISERROR(N405+O405+P405)),"Проверьте даты",IF(AND(N405&gt;0,P405&gt;1),"Дубль",IF(AND(N405&gt;0,O405&gt;0),O405,"Вне аренды"))))</f>
        <v/>
      </c>
      <c r="G405" s="12">
        <f>IF(ISNUMBER(F405),IFERROR(INDEX(Брони!$C$2:$C$500,MATCH(F405,Брони!$A$2:$A$500,0)),""),"")</f>
        <v/>
      </c>
      <c r="H405" s="10" t="n"/>
      <c r="I405" s="18" t="n"/>
      <c r="J405" s="12">
        <f>IF(AND(ISNUMBER(F405),I405&lt;&gt;""),IFERROR(IF(AND(INDEX(Брони!$F$2:$F$500,MATCH(F405,Брони!$A$2:$A$500,0))="Возвращена",I405&gt;INDEX(Брони!$E$2:$E$500,MATCH(F405,Брони!$A$2:$A$500,0))),"Да",""),""),"")</f>
        <v/>
      </c>
      <c r="K405" s="10" t="n"/>
      <c r="L405" s="14" t="n"/>
      <c r="M405" s="15">
        <f>IF(OR(A405="",B405=""),"",IF(AND(ISNUMBER(F405),H405&lt;&gt;"Компания"),D405+L405,0))</f>
        <v/>
      </c>
      <c r="N405" s="21">
        <f>SUMPRODUCT(MAX((Брони!$B$2:$B$500=B405)*((Брони!$F$2:$F$500="Выдана")+(Брони!$F$2:$F$500="Возвращена"))*(Брони!$D$2:$D$500&lt;=A405)*Брони!$D$2:$D$500))</f>
        <v/>
      </c>
      <c r="O405" s="19">
        <f>SUMPRODUCT((Брони!$B$2:$B$500=B405)*(Брони!$D$2:$D$500=N405)*((((Брони!$F$2:$F$500="Выдана")*NOW())+((Брони!$F$2:$F$500="Возвращена")*Брони!$E$2:$E$500))&gt;=A405)*Брони!$A$2:$A$500)</f>
        <v/>
      </c>
      <c r="P405" s="19">
        <f>SUMPRODUCT((Брони!$B$2:$B$500=B405)*(Брони!$D$2:$D$500=N405)*(((Брони!$F$2:$F$500="Выдана")+(Брони!$F$2:$F$500="Возвращена"))))</f>
        <v/>
      </c>
      <c r="Q405" s="10" t="n"/>
    </row>
    <row r="406">
      <c r="A406" s="11" t="n"/>
      <c r="B406" s="10" t="n"/>
      <c r="C406" s="10" t="n"/>
      <c r="D406" s="14" t="n"/>
      <c r="E406" s="10" t="n"/>
      <c r="F406" s="20">
        <f>IF(OR(A406="",B406=""),"",IF(OR(NOT(ISNUMBER(A406)),ISERROR(N406+O406+P406)),"Проверьте даты",IF(AND(N406&gt;0,P406&gt;1),"Дубль",IF(AND(N406&gt;0,O406&gt;0),O406,"Вне аренды"))))</f>
        <v/>
      </c>
      <c r="G406" s="12">
        <f>IF(ISNUMBER(F406),IFERROR(INDEX(Брони!$C$2:$C$500,MATCH(F406,Брони!$A$2:$A$500,0)),""),"")</f>
        <v/>
      </c>
      <c r="H406" s="10" t="n"/>
      <c r="I406" s="18" t="n"/>
      <c r="J406" s="12">
        <f>IF(AND(ISNUMBER(F406),I406&lt;&gt;""),IFERROR(IF(AND(INDEX(Брони!$F$2:$F$500,MATCH(F406,Брони!$A$2:$A$500,0))="Возвращена",I406&gt;INDEX(Брони!$E$2:$E$500,MATCH(F406,Брони!$A$2:$A$500,0))),"Да",""),""),"")</f>
        <v/>
      </c>
      <c r="K406" s="10" t="n"/>
      <c r="L406" s="14" t="n"/>
      <c r="M406" s="15">
        <f>IF(OR(A406="",B406=""),"",IF(AND(ISNUMBER(F406),H406&lt;&gt;"Компания"),D406+L406,0))</f>
        <v/>
      </c>
      <c r="N406" s="21">
        <f>SUMPRODUCT(MAX((Брони!$B$2:$B$500=B406)*((Брони!$F$2:$F$500="Выдана")+(Брони!$F$2:$F$500="Возвращена"))*(Брони!$D$2:$D$500&lt;=A406)*Брони!$D$2:$D$500))</f>
        <v/>
      </c>
      <c r="O406" s="19">
        <f>SUMPRODUCT((Брони!$B$2:$B$500=B406)*(Брони!$D$2:$D$500=N406)*((((Брони!$F$2:$F$500="Выдана")*NOW())+((Брони!$F$2:$F$500="Возвращена")*Брони!$E$2:$E$500))&gt;=A406)*Брони!$A$2:$A$500)</f>
        <v/>
      </c>
      <c r="P406" s="19">
        <f>SUMPRODUCT((Брони!$B$2:$B$500=B406)*(Брони!$D$2:$D$500=N406)*(((Брони!$F$2:$F$500="Выдана")+(Брони!$F$2:$F$500="Возвращена"))))</f>
        <v/>
      </c>
      <c r="Q406" s="10" t="n"/>
    </row>
    <row r="407">
      <c r="A407" s="11" t="n"/>
      <c r="B407" s="10" t="n"/>
      <c r="C407" s="10" t="n"/>
      <c r="D407" s="14" t="n"/>
      <c r="E407" s="10" t="n"/>
      <c r="F407" s="20">
        <f>IF(OR(A407="",B407=""),"",IF(OR(NOT(ISNUMBER(A407)),ISERROR(N407+O407+P407)),"Проверьте даты",IF(AND(N407&gt;0,P407&gt;1),"Дубль",IF(AND(N407&gt;0,O407&gt;0),O407,"Вне аренды"))))</f>
        <v/>
      </c>
      <c r="G407" s="12">
        <f>IF(ISNUMBER(F407),IFERROR(INDEX(Брони!$C$2:$C$500,MATCH(F407,Брони!$A$2:$A$500,0)),""),"")</f>
        <v/>
      </c>
      <c r="H407" s="10" t="n"/>
      <c r="I407" s="18" t="n"/>
      <c r="J407" s="12">
        <f>IF(AND(ISNUMBER(F407),I407&lt;&gt;""),IFERROR(IF(AND(INDEX(Брони!$F$2:$F$500,MATCH(F407,Брони!$A$2:$A$500,0))="Возвращена",I407&gt;INDEX(Брони!$E$2:$E$500,MATCH(F407,Брони!$A$2:$A$500,0))),"Да",""),""),"")</f>
        <v/>
      </c>
      <c r="K407" s="10" t="n"/>
      <c r="L407" s="14" t="n"/>
      <c r="M407" s="15">
        <f>IF(OR(A407="",B407=""),"",IF(AND(ISNUMBER(F407),H407&lt;&gt;"Компания"),D407+L407,0))</f>
        <v/>
      </c>
      <c r="N407" s="21">
        <f>SUMPRODUCT(MAX((Брони!$B$2:$B$500=B407)*((Брони!$F$2:$F$500="Выдана")+(Брони!$F$2:$F$500="Возвращена"))*(Брони!$D$2:$D$500&lt;=A407)*Брони!$D$2:$D$500))</f>
        <v/>
      </c>
      <c r="O407" s="19">
        <f>SUMPRODUCT((Брони!$B$2:$B$500=B407)*(Брони!$D$2:$D$500=N407)*((((Брони!$F$2:$F$500="Выдана")*NOW())+((Брони!$F$2:$F$500="Возвращена")*Брони!$E$2:$E$500))&gt;=A407)*Брони!$A$2:$A$500)</f>
        <v/>
      </c>
      <c r="P407" s="19">
        <f>SUMPRODUCT((Брони!$B$2:$B$500=B407)*(Брони!$D$2:$D$500=N407)*(((Брони!$F$2:$F$500="Выдана")+(Брони!$F$2:$F$500="Возвращена"))))</f>
        <v/>
      </c>
      <c r="Q407" s="10" t="n"/>
    </row>
    <row r="408">
      <c r="A408" s="11" t="n"/>
      <c r="B408" s="10" t="n"/>
      <c r="C408" s="10" t="n"/>
      <c r="D408" s="14" t="n"/>
      <c r="E408" s="10" t="n"/>
      <c r="F408" s="20">
        <f>IF(OR(A408="",B408=""),"",IF(OR(NOT(ISNUMBER(A408)),ISERROR(N408+O408+P408)),"Проверьте даты",IF(AND(N408&gt;0,P408&gt;1),"Дубль",IF(AND(N408&gt;0,O408&gt;0),O408,"Вне аренды"))))</f>
        <v/>
      </c>
      <c r="G408" s="12">
        <f>IF(ISNUMBER(F408),IFERROR(INDEX(Брони!$C$2:$C$500,MATCH(F408,Брони!$A$2:$A$500,0)),""),"")</f>
        <v/>
      </c>
      <c r="H408" s="10" t="n"/>
      <c r="I408" s="18" t="n"/>
      <c r="J408" s="12">
        <f>IF(AND(ISNUMBER(F408),I408&lt;&gt;""),IFERROR(IF(AND(INDEX(Брони!$F$2:$F$500,MATCH(F408,Брони!$A$2:$A$500,0))="Возвращена",I408&gt;INDEX(Брони!$E$2:$E$500,MATCH(F408,Брони!$A$2:$A$500,0))),"Да",""),""),"")</f>
        <v/>
      </c>
      <c r="K408" s="10" t="n"/>
      <c r="L408" s="14" t="n"/>
      <c r="M408" s="15">
        <f>IF(OR(A408="",B408=""),"",IF(AND(ISNUMBER(F408),H408&lt;&gt;"Компания"),D408+L408,0))</f>
        <v/>
      </c>
      <c r="N408" s="21">
        <f>SUMPRODUCT(MAX((Брони!$B$2:$B$500=B408)*((Брони!$F$2:$F$500="Выдана")+(Брони!$F$2:$F$500="Возвращена"))*(Брони!$D$2:$D$500&lt;=A408)*Брони!$D$2:$D$500))</f>
        <v/>
      </c>
      <c r="O408" s="19">
        <f>SUMPRODUCT((Брони!$B$2:$B$500=B408)*(Брони!$D$2:$D$500=N408)*((((Брони!$F$2:$F$500="Выдана")*NOW())+((Брони!$F$2:$F$500="Возвращена")*Брони!$E$2:$E$500))&gt;=A408)*Брони!$A$2:$A$500)</f>
        <v/>
      </c>
      <c r="P408" s="19">
        <f>SUMPRODUCT((Брони!$B$2:$B$500=B408)*(Брони!$D$2:$D$500=N408)*(((Брони!$F$2:$F$500="Выдана")+(Брони!$F$2:$F$500="Возвращена"))))</f>
        <v/>
      </c>
      <c r="Q408" s="10" t="n"/>
    </row>
    <row r="409">
      <c r="A409" s="11" t="n"/>
      <c r="B409" s="10" t="n"/>
      <c r="C409" s="10" t="n"/>
      <c r="D409" s="14" t="n"/>
      <c r="E409" s="10" t="n"/>
      <c r="F409" s="20">
        <f>IF(OR(A409="",B409=""),"",IF(OR(NOT(ISNUMBER(A409)),ISERROR(N409+O409+P409)),"Проверьте даты",IF(AND(N409&gt;0,P409&gt;1),"Дубль",IF(AND(N409&gt;0,O409&gt;0),O409,"Вне аренды"))))</f>
        <v/>
      </c>
      <c r="G409" s="12">
        <f>IF(ISNUMBER(F409),IFERROR(INDEX(Брони!$C$2:$C$500,MATCH(F409,Брони!$A$2:$A$500,0)),""),"")</f>
        <v/>
      </c>
      <c r="H409" s="10" t="n"/>
      <c r="I409" s="18" t="n"/>
      <c r="J409" s="12">
        <f>IF(AND(ISNUMBER(F409),I409&lt;&gt;""),IFERROR(IF(AND(INDEX(Брони!$F$2:$F$500,MATCH(F409,Брони!$A$2:$A$500,0))="Возвращена",I409&gt;INDEX(Брони!$E$2:$E$500,MATCH(F409,Брони!$A$2:$A$500,0))),"Да",""),""),"")</f>
        <v/>
      </c>
      <c r="K409" s="10" t="n"/>
      <c r="L409" s="14" t="n"/>
      <c r="M409" s="15">
        <f>IF(OR(A409="",B409=""),"",IF(AND(ISNUMBER(F409),H409&lt;&gt;"Компания"),D409+L409,0))</f>
        <v/>
      </c>
      <c r="N409" s="21">
        <f>SUMPRODUCT(MAX((Брони!$B$2:$B$500=B409)*((Брони!$F$2:$F$500="Выдана")+(Брони!$F$2:$F$500="Возвращена"))*(Брони!$D$2:$D$500&lt;=A409)*Брони!$D$2:$D$500))</f>
        <v/>
      </c>
      <c r="O409" s="19">
        <f>SUMPRODUCT((Брони!$B$2:$B$500=B409)*(Брони!$D$2:$D$500=N409)*((((Брони!$F$2:$F$500="Выдана")*NOW())+((Брони!$F$2:$F$500="Возвращена")*Брони!$E$2:$E$500))&gt;=A409)*Брони!$A$2:$A$500)</f>
        <v/>
      </c>
      <c r="P409" s="19">
        <f>SUMPRODUCT((Брони!$B$2:$B$500=B409)*(Брони!$D$2:$D$500=N409)*(((Брони!$F$2:$F$500="Выдана")+(Брони!$F$2:$F$500="Возвращена"))))</f>
        <v/>
      </c>
      <c r="Q409" s="10" t="n"/>
    </row>
    <row r="410">
      <c r="A410" s="11" t="n"/>
      <c r="B410" s="10" t="n"/>
      <c r="C410" s="10" t="n"/>
      <c r="D410" s="14" t="n"/>
      <c r="E410" s="10" t="n"/>
      <c r="F410" s="20">
        <f>IF(OR(A410="",B410=""),"",IF(OR(NOT(ISNUMBER(A410)),ISERROR(N410+O410+P410)),"Проверьте даты",IF(AND(N410&gt;0,P410&gt;1),"Дубль",IF(AND(N410&gt;0,O410&gt;0),O410,"Вне аренды"))))</f>
        <v/>
      </c>
      <c r="G410" s="12">
        <f>IF(ISNUMBER(F410),IFERROR(INDEX(Брони!$C$2:$C$500,MATCH(F410,Брони!$A$2:$A$500,0)),""),"")</f>
        <v/>
      </c>
      <c r="H410" s="10" t="n"/>
      <c r="I410" s="18" t="n"/>
      <c r="J410" s="12">
        <f>IF(AND(ISNUMBER(F410),I410&lt;&gt;""),IFERROR(IF(AND(INDEX(Брони!$F$2:$F$500,MATCH(F410,Брони!$A$2:$A$500,0))="Возвращена",I410&gt;INDEX(Брони!$E$2:$E$500,MATCH(F410,Брони!$A$2:$A$500,0))),"Да",""),""),"")</f>
        <v/>
      </c>
      <c r="K410" s="10" t="n"/>
      <c r="L410" s="14" t="n"/>
      <c r="M410" s="15">
        <f>IF(OR(A410="",B410=""),"",IF(AND(ISNUMBER(F410),H410&lt;&gt;"Компания"),D410+L410,0))</f>
        <v/>
      </c>
      <c r="N410" s="21">
        <f>SUMPRODUCT(MAX((Брони!$B$2:$B$500=B410)*((Брони!$F$2:$F$500="Выдана")+(Брони!$F$2:$F$500="Возвращена"))*(Брони!$D$2:$D$500&lt;=A410)*Брони!$D$2:$D$500))</f>
        <v/>
      </c>
      <c r="O410" s="19">
        <f>SUMPRODUCT((Брони!$B$2:$B$500=B410)*(Брони!$D$2:$D$500=N410)*((((Брони!$F$2:$F$500="Выдана")*NOW())+((Брони!$F$2:$F$500="Возвращена")*Брони!$E$2:$E$500))&gt;=A410)*Брони!$A$2:$A$500)</f>
        <v/>
      </c>
      <c r="P410" s="19">
        <f>SUMPRODUCT((Брони!$B$2:$B$500=B410)*(Брони!$D$2:$D$500=N410)*(((Брони!$F$2:$F$500="Выдана")+(Брони!$F$2:$F$500="Возвращена"))))</f>
        <v/>
      </c>
      <c r="Q410" s="10" t="n"/>
    </row>
    <row r="411">
      <c r="A411" s="11" t="n"/>
      <c r="B411" s="10" t="n"/>
      <c r="C411" s="10" t="n"/>
      <c r="D411" s="14" t="n"/>
      <c r="E411" s="10" t="n"/>
      <c r="F411" s="20">
        <f>IF(OR(A411="",B411=""),"",IF(OR(NOT(ISNUMBER(A411)),ISERROR(N411+O411+P411)),"Проверьте даты",IF(AND(N411&gt;0,P411&gt;1),"Дубль",IF(AND(N411&gt;0,O411&gt;0),O411,"Вне аренды"))))</f>
        <v/>
      </c>
      <c r="G411" s="12">
        <f>IF(ISNUMBER(F411),IFERROR(INDEX(Брони!$C$2:$C$500,MATCH(F411,Брони!$A$2:$A$500,0)),""),"")</f>
        <v/>
      </c>
      <c r="H411" s="10" t="n"/>
      <c r="I411" s="18" t="n"/>
      <c r="J411" s="12">
        <f>IF(AND(ISNUMBER(F411),I411&lt;&gt;""),IFERROR(IF(AND(INDEX(Брони!$F$2:$F$500,MATCH(F411,Брони!$A$2:$A$500,0))="Возвращена",I411&gt;INDEX(Брони!$E$2:$E$500,MATCH(F411,Брони!$A$2:$A$500,0))),"Да",""),""),"")</f>
        <v/>
      </c>
      <c r="K411" s="10" t="n"/>
      <c r="L411" s="14" t="n"/>
      <c r="M411" s="15">
        <f>IF(OR(A411="",B411=""),"",IF(AND(ISNUMBER(F411),H411&lt;&gt;"Компания"),D411+L411,0))</f>
        <v/>
      </c>
      <c r="N411" s="21">
        <f>SUMPRODUCT(MAX((Брони!$B$2:$B$500=B411)*((Брони!$F$2:$F$500="Выдана")+(Брони!$F$2:$F$500="Возвращена"))*(Брони!$D$2:$D$500&lt;=A411)*Брони!$D$2:$D$500))</f>
        <v/>
      </c>
      <c r="O411" s="19">
        <f>SUMPRODUCT((Брони!$B$2:$B$500=B411)*(Брони!$D$2:$D$500=N411)*((((Брони!$F$2:$F$500="Выдана")*NOW())+((Брони!$F$2:$F$500="Возвращена")*Брони!$E$2:$E$500))&gt;=A411)*Брони!$A$2:$A$500)</f>
        <v/>
      </c>
      <c r="P411" s="19">
        <f>SUMPRODUCT((Брони!$B$2:$B$500=B411)*(Брони!$D$2:$D$500=N411)*(((Брони!$F$2:$F$500="Выдана")+(Брони!$F$2:$F$500="Возвращена"))))</f>
        <v/>
      </c>
      <c r="Q411" s="10" t="n"/>
    </row>
    <row r="412">
      <c r="A412" s="11" t="n"/>
      <c r="B412" s="10" t="n"/>
      <c r="C412" s="10" t="n"/>
      <c r="D412" s="14" t="n"/>
      <c r="E412" s="10" t="n"/>
      <c r="F412" s="20">
        <f>IF(OR(A412="",B412=""),"",IF(OR(NOT(ISNUMBER(A412)),ISERROR(N412+O412+P412)),"Проверьте даты",IF(AND(N412&gt;0,P412&gt;1),"Дубль",IF(AND(N412&gt;0,O412&gt;0),O412,"Вне аренды"))))</f>
        <v/>
      </c>
      <c r="G412" s="12">
        <f>IF(ISNUMBER(F412),IFERROR(INDEX(Брони!$C$2:$C$500,MATCH(F412,Брони!$A$2:$A$500,0)),""),"")</f>
        <v/>
      </c>
      <c r="H412" s="10" t="n"/>
      <c r="I412" s="18" t="n"/>
      <c r="J412" s="12">
        <f>IF(AND(ISNUMBER(F412),I412&lt;&gt;""),IFERROR(IF(AND(INDEX(Брони!$F$2:$F$500,MATCH(F412,Брони!$A$2:$A$500,0))="Возвращена",I412&gt;INDEX(Брони!$E$2:$E$500,MATCH(F412,Брони!$A$2:$A$500,0))),"Да",""),""),"")</f>
        <v/>
      </c>
      <c r="K412" s="10" t="n"/>
      <c r="L412" s="14" t="n"/>
      <c r="M412" s="15">
        <f>IF(OR(A412="",B412=""),"",IF(AND(ISNUMBER(F412),H412&lt;&gt;"Компания"),D412+L412,0))</f>
        <v/>
      </c>
      <c r="N412" s="21">
        <f>SUMPRODUCT(MAX((Брони!$B$2:$B$500=B412)*((Брони!$F$2:$F$500="Выдана")+(Брони!$F$2:$F$500="Возвращена"))*(Брони!$D$2:$D$500&lt;=A412)*Брони!$D$2:$D$500))</f>
        <v/>
      </c>
      <c r="O412" s="19">
        <f>SUMPRODUCT((Брони!$B$2:$B$500=B412)*(Брони!$D$2:$D$500=N412)*((((Брони!$F$2:$F$500="Выдана")*NOW())+((Брони!$F$2:$F$500="Возвращена")*Брони!$E$2:$E$500))&gt;=A412)*Брони!$A$2:$A$500)</f>
        <v/>
      </c>
      <c r="P412" s="19">
        <f>SUMPRODUCT((Брони!$B$2:$B$500=B412)*(Брони!$D$2:$D$500=N412)*(((Брони!$F$2:$F$500="Выдана")+(Брони!$F$2:$F$500="Возвращена"))))</f>
        <v/>
      </c>
      <c r="Q412" s="10" t="n"/>
    </row>
    <row r="413">
      <c r="A413" s="11" t="n"/>
      <c r="B413" s="10" t="n"/>
      <c r="C413" s="10" t="n"/>
      <c r="D413" s="14" t="n"/>
      <c r="E413" s="10" t="n"/>
      <c r="F413" s="20">
        <f>IF(OR(A413="",B413=""),"",IF(OR(NOT(ISNUMBER(A413)),ISERROR(N413+O413+P413)),"Проверьте даты",IF(AND(N413&gt;0,P413&gt;1),"Дубль",IF(AND(N413&gt;0,O413&gt;0),O413,"Вне аренды"))))</f>
        <v/>
      </c>
      <c r="G413" s="12">
        <f>IF(ISNUMBER(F413),IFERROR(INDEX(Брони!$C$2:$C$500,MATCH(F413,Брони!$A$2:$A$500,0)),""),"")</f>
        <v/>
      </c>
      <c r="H413" s="10" t="n"/>
      <c r="I413" s="18" t="n"/>
      <c r="J413" s="12">
        <f>IF(AND(ISNUMBER(F413),I413&lt;&gt;""),IFERROR(IF(AND(INDEX(Брони!$F$2:$F$500,MATCH(F413,Брони!$A$2:$A$500,0))="Возвращена",I413&gt;INDEX(Брони!$E$2:$E$500,MATCH(F413,Брони!$A$2:$A$500,0))),"Да",""),""),"")</f>
        <v/>
      </c>
      <c r="K413" s="10" t="n"/>
      <c r="L413" s="14" t="n"/>
      <c r="M413" s="15">
        <f>IF(OR(A413="",B413=""),"",IF(AND(ISNUMBER(F413),H413&lt;&gt;"Компания"),D413+L413,0))</f>
        <v/>
      </c>
      <c r="N413" s="21">
        <f>SUMPRODUCT(MAX((Брони!$B$2:$B$500=B413)*((Брони!$F$2:$F$500="Выдана")+(Брони!$F$2:$F$500="Возвращена"))*(Брони!$D$2:$D$500&lt;=A413)*Брони!$D$2:$D$500))</f>
        <v/>
      </c>
      <c r="O413" s="19">
        <f>SUMPRODUCT((Брони!$B$2:$B$500=B413)*(Брони!$D$2:$D$500=N413)*((((Брони!$F$2:$F$500="Выдана")*NOW())+((Брони!$F$2:$F$500="Возвращена")*Брони!$E$2:$E$500))&gt;=A413)*Брони!$A$2:$A$500)</f>
        <v/>
      </c>
      <c r="P413" s="19">
        <f>SUMPRODUCT((Брони!$B$2:$B$500=B413)*(Брони!$D$2:$D$500=N413)*(((Брони!$F$2:$F$500="Выдана")+(Брони!$F$2:$F$500="Возвращена"))))</f>
        <v/>
      </c>
      <c r="Q413" s="10" t="n"/>
    </row>
    <row r="414">
      <c r="A414" s="11" t="n"/>
      <c r="B414" s="10" t="n"/>
      <c r="C414" s="10" t="n"/>
      <c r="D414" s="14" t="n"/>
      <c r="E414" s="10" t="n"/>
      <c r="F414" s="20">
        <f>IF(OR(A414="",B414=""),"",IF(OR(NOT(ISNUMBER(A414)),ISERROR(N414+O414+P414)),"Проверьте даты",IF(AND(N414&gt;0,P414&gt;1),"Дубль",IF(AND(N414&gt;0,O414&gt;0),O414,"Вне аренды"))))</f>
        <v/>
      </c>
      <c r="G414" s="12">
        <f>IF(ISNUMBER(F414),IFERROR(INDEX(Брони!$C$2:$C$500,MATCH(F414,Брони!$A$2:$A$500,0)),""),"")</f>
        <v/>
      </c>
      <c r="H414" s="10" t="n"/>
      <c r="I414" s="18" t="n"/>
      <c r="J414" s="12">
        <f>IF(AND(ISNUMBER(F414),I414&lt;&gt;""),IFERROR(IF(AND(INDEX(Брони!$F$2:$F$500,MATCH(F414,Брони!$A$2:$A$500,0))="Возвращена",I414&gt;INDEX(Брони!$E$2:$E$500,MATCH(F414,Брони!$A$2:$A$500,0))),"Да",""),""),"")</f>
        <v/>
      </c>
      <c r="K414" s="10" t="n"/>
      <c r="L414" s="14" t="n"/>
      <c r="M414" s="15">
        <f>IF(OR(A414="",B414=""),"",IF(AND(ISNUMBER(F414),H414&lt;&gt;"Компания"),D414+L414,0))</f>
        <v/>
      </c>
      <c r="N414" s="21">
        <f>SUMPRODUCT(MAX((Брони!$B$2:$B$500=B414)*((Брони!$F$2:$F$500="Выдана")+(Брони!$F$2:$F$500="Возвращена"))*(Брони!$D$2:$D$500&lt;=A414)*Брони!$D$2:$D$500))</f>
        <v/>
      </c>
      <c r="O414" s="19">
        <f>SUMPRODUCT((Брони!$B$2:$B$500=B414)*(Брони!$D$2:$D$500=N414)*((((Брони!$F$2:$F$500="Выдана")*NOW())+((Брони!$F$2:$F$500="Возвращена")*Брони!$E$2:$E$500))&gt;=A414)*Брони!$A$2:$A$500)</f>
        <v/>
      </c>
      <c r="P414" s="19">
        <f>SUMPRODUCT((Брони!$B$2:$B$500=B414)*(Брони!$D$2:$D$500=N414)*(((Брони!$F$2:$F$500="Выдана")+(Брони!$F$2:$F$500="Возвращена"))))</f>
        <v/>
      </c>
      <c r="Q414" s="10" t="n"/>
    </row>
    <row r="415">
      <c r="A415" s="11" t="n"/>
      <c r="B415" s="10" t="n"/>
      <c r="C415" s="10" t="n"/>
      <c r="D415" s="14" t="n"/>
      <c r="E415" s="10" t="n"/>
      <c r="F415" s="20">
        <f>IF(OR(A415="",B415=""),"",IF(OR(NOT(ISNUMBER(A415)),ISERROR(N415+O415+P415)),"Проверьте даты",IF(AND(N415&gt;0,P415&gt;1),"Дубль",IF(AND(N415&gt;0,O415&gt;0),O415,"Вне аренды"))))</f>
        <v/>
      </c>
      <c r="G415" s="12">
        <f>IF(ISNUMBER(F415),IFERROR(INDEX(Брони!$C$2:$C$500,MATCH(F415,Брони!$A$2:$A$500,0)),""),"")</f>
        <v/>
      </c>
      <c r="H415" s="10" t="n"/>
      <c r="I415" s="18" t="n"/>
      <c r="J415" s="12">
        <f>IF(AND(ISNUMBER(F415),I415&lt;&gt;""),IFERROR(IF(AND(INDEX(Брони!$F$2:$F$500,MATCH(F415,Брони!$A$2:$A$500,0))="Возвращена",I415&gt;INDEX(Брони!$E$2:$E$500,MATCH(F415,Брони!$A$2:$A$500,0))),"Да",""),""),"")</f>
        <v/>
      </c>
      <c r="K415" s="10" t="n"/>
      <c r="L415" s="14" t="n"/>
      <c r="M415" s="15">
        <f>IF(OR(A415="",B415=""),"",IF(AND(ISNUMBER(F415),H415&lt;&gt;"Компания"),D415+L415,0))</f>
        <v/>
      </c>
      <c r="N415" s="21">
        <f>SUMPRODUCT(MAX((Брони!$B$2:$B$500=B415)*((Брони!$F$2:$F$500="Выдана")+(Брони!$F$2:$F$500="Возвращена"))*(Брони!$D$2:$D$500&lt;=A415)*Брони!$D$2:$D$500))</f>
        <v/>
      </c>
      <c r="O415" s="19">
        <f>SUMPRODUCT((Брони!$B$2:$B$500=B415)*(Брони!$D$2:$D$500=N415)*((((Брони!$F$2:$F$500="Выдана")*NOW())+((Брони!$F$2:$F$500="Возвращена")*Брони!$E$2:$E$500))&gt;=A415)*Брони!$A$2:$A$500)</f>
        <v/>
      </c>
      <c r="P415" s="19">
        <f>SUMPRODUCT((Брони!$B$2:$B$500=B415)*(Брони!$D$2:$D$500=N415)*(((Брони!$F$2:$F$500="Выдана")+(Брони!$F$2:$F$500="Возвращена"))))</f>
        <v/>
      </c>
      <c r="Q415" s="10" t="n"/>
    </row>
    <row r="416">
      <c r="A416" s="11" t="n"/>
      <c r="B416" s="10" t="n"/>
      <c r="C416" s="10" t="n"/>
      <c r="D416" s="14" t="n"/>
      <c r="E416" s="10" t="n"/>
      <c r="F416" s="20">
        <f>IF(OR(A416="",B416=""),"",IF(OR(NOT(ISNUMBER(A416)),ISERROR(N416+O416+P416)),"Проверьте даты",IF(AND(N416&gt;0,P416&gt;1),"Дубль",IF(AND(N416&gt;0,O416&gt;0),O416,"Вне аренды"))))</f>
        <v/>
      </c>
      <c r="G416" s="12">
        <f>IF(ISNUMBER(F416),IFERROR(INDEX(Брони!$C$2:$C$500,MATCH(F416,Брони!$A$2:$A$500,0)),""),"")</f>
        <v/>
      </c>
      <c r="H416" s="10" t="n"/>
      <c r="I416" s="18" t="n"/>
      <c r="J416" s="12">
        <f>IF(AND(ISNUMBER(F416),I416&lt;&gt;""),IFERROR(IF(AND(INDEX(Брони!$F$2:$F$500,MATCH(F416,Брони!$A$2:$A$500,0))="Возвращена",I416&gt;INDEX(Брони!$E$2:$E$500,MATCH(F416,Брони!$A$2:$A$500,0))),"Да",""),""),"")</f>
        <v/>
      </c>
      <c r="K416" s="10" t="n"/>
      <c r="L416" s="14" t="n"/>
      <c r="M416" s="15">
        <f>IF(OR(A416="",B416=""),"",IF(AND(ISNUMBER(F416),H416&lt;&gt;"Компания"),D416+L416,0))</f>
        <v/>
      </c>
      <c r="N416" s="21">
        <f>SUMPRODUCT(MAX((Брони!$B$2:$B$500=B416)*((Брони!$F$2:$F$500="Выдана")+(Брони!$F$2:$F$500="Возвращена"))*(Брони!$D$2:$D$500&lt;=A416)*Брони!$D$2:$D$500))</f>
        <v/>
      </c>
      <c r="O416" s="19">
        <f>SUMPRODUCT((Брони!$B$2:$B$500=B416)*(Брони!$D$2:$D$500=N416)*((((Брони!$F$2:$F$500="Выдана")*NOW())+((Брони!$F$2:$F$500="Возвращена")*Брони!$E$2:$E$500))&gt;=A416)*Брони!$A$2:$A$500)</f>
        <v/>
      </c>
      <c r="P416" s="19">
        <f>SUMPRODUCT((Брони!$B$2:$B$500=B416)*(Брони!$D$2:$D$500=N416)*(((Брони!$F$2:$F$500="Выдана")+(Брони!$F$2:$F$500="Возвращена"))))</f>
        <v/>
      </c>
      <c r="Q416" s="10" t="n"/>
    </row>
    <row r="417">
      <c r="A417" s="11" t="n"/>
      <c r="B417" s="10" t="n"/>
      <c r="C417" s="10" t="n"/>
      <c r="D417" s="14" t="n"/>
      <c r="E417" s="10" t="n"/>
      <c r="F417" s="20">
        <f>IF(OR(A417="",B417=""),"",IF(OR(NOT(ISNUMBER(A417)),ISERROR(N417+O417+P417)),"Проверьте даты",IF(AND(N417&gt;0,P417&gt;1),"Дубль",IF(AND(N417&gt;0,O417&gt;0),O417,"Вне аренды"))))</f>
        <v/>
      </c>
      <c r="G417" s="12">
        <f>IF(ISNUMBER(F417),IFERROR(INDEX(Брони!$C$2:$C$500,MATCH(F417,Брони!$A$2:$A$500,0)),""),"")</f>
        <v/>
      </c>
      <c r="H417" s="10" t="n"/>
      <c r="I417" s="18" t="n"/>
      <c r="J417" s="12">
        <f>IF(AND(ISNUMBER(F417),I417&lt;&gt;""),IFERROR(IF(AND(INDEX(Брони!$F$2:$F$500,MATCH(F417,Брони!$A$2:$A$500,0))="Возвращена",I417&gt;INDEX(Брони!$E$2:$E$500,MATCH(F417,Брони!$A$2:$A$500,0))),"Да",""),""),"")</f>
        <v/>
      </c>
      <c r="K417" s="10" t="n"/>
      <c r="L417" s="14" t="n"/>
      <c r="M417" s="15">
        <f>IF(OR(A417="",B417=""),"",IF(AND(ISNUMBER(F417),H417&lt;&gt;"Компания"),D417+L417,0))</f>
        <v/>
      </c>
      <c r="N417" s="21">
        <f>SUMPRODUCT(MAX((Брони!$B$2:$B$500=B417)*((Брони!$F$2:$F$500="Выдана")+(Брони!$F$2:$F$500="Возвращена"))*(Брони!$D$2:$D$500&lt;=A417)*Брони!$D$2:$D$500))</f>
        <v/>
      </c>
      <c r="O417" s="19">
        <f>SUMPRODUCT((Брони!$B$2:$B$500=B417)*(Брони!$D$2:$D$500=N417)*((((Брони!$F$2:$F$500="Выдана")*NOW())+((Брони!$F$2:$F$500="Возвращена")*Брони!$E$2:$E$500))&gt;=A417)*Брони!$A$2:$A$500)</f>
        <v/>
      </c>
      <c r="P417" s="19">
        <f>SUMPRODUCT((Брони!$B$2:$B$500=B417)*(Брони!$D$2:$D$500=N417)*(((Брони!$F$2:$F$500="Выдана")+(Брони!$F$2:$F$500="Возвращена"))))</f>
        <v/>
      </c>
      <c r="Q417" s="10" t="n"/>
    </row>
    <row r="418">
      <c r="A418" s="11" t="n"/>
      <c r="B418" s="10" t="n"/>
      <c r="C418" s="10" t="n"/>
      <c r="D418" s="14" t="n"/>
      <c r="E418" s="10" t="n"/>
      <c r="F418" s="20">
        <f>IF(OR(A418="",B418=""),"",IF(OR(NOT(ISNUMBER(A418)),ISERROR(N418+O418+P418)),"Проверьте даты",IF(AND(N418&gt;0,P418&gt;1),"Дубль",IF(AND(N418&gt;0,O418&gt;0),O418,"Вне аренды"))))</f>
        <v/>
      </c>
      <c r="G418" s="12">
        <f>IF(ISNUMBER(F418),IFERROR(INDEX(Брони!$C$2:$C$500,MATCH(F418,Брони!$A$2:$A$500,0)),""),"")</f>
        <v/>
      </c>
      <c r="H418" s="10" t="n"/>
      <c r="I418" s="18" t="n"/>
      <c r="J418" s="12">
        <f>IF(AND(ISNUMBER(F418),I418&lt;&gt;""),IFERROR(IF(AND(INDEX(Брони!$F$2:$F$500,MATCH(F418,Брони!$A$2:$A$500,0))="Возвращена",I418&gt;INDEX(Брони!$E$2:$E$500,MATCH(F418,Брони!$A$2:$A$500,0))),"Да",""),""),"")</f>
        <v/>
      </c>
      <c r="K418" s="10" t="n"/>
      <c r="L418" s="14" t="n"/>
      <c r="M418" s="15">
        <f>IF(OR(A418="",B418=""),"",IF(AND(ISNUMBER(F418),H418&lt;&gt;"Компания"),D418+L418,0))</f>
        <v/>
      </c>
      <c r="N418" s="21">
        <f>SUMPRODUCT(MAX((Брони!$B$2:$B$500=B418)*((Брони!$F$2:$F$500="Выдана")+(Брони!$F$2:$F$500="Возвращена"))*(Брони!$D$2:$D$500&lt;=A418)*Брони!$D$2:$D$500))</f>
        <v/>
      </c>
      <c r="O418" s="19">
        <f>SUMPRODUCT((Брони!$B$2:$B$500=B418)*(Брони!$D$2:$D$500=N418)*((((Брони!$F$2:$F$500="Выдана")*NOW())+((Брони!$F$2:$F$500="Возвращена")*Брони!$E$2:$E$500))&gt;=A418)*Брони!$A$2:$A$500)</f>
        <v/>
      </c>
      <c r="P418" s="19">
        <f>SUMPRODUCT((Брони!$B$2:$B$500=B418)*(Брони!$D$2:$D$500=N418)*(((Брони!$F$2:$F$500="Выдана")+(Брони!$F$2:$F$500="Возвращена"))))</f>
        <v/>
      </c>
      <c r="Q418" s="10" t="n"/>
    </row>
    <row r="419">
      <c r="A419" s="11" t="n"/>
      <c r="B419" s="10" t="n"/>
      <c r="C419" s="10" t="n"/>
      <c r="D419" s="14" t="n"/>
      <c r="E419" s="10" t="n"/>
      <c r="F419" s="20">
        <f>IF(OR(A419="",B419=""),"",IF(OR(NOT(ISNUMBER(A419)),ISERROR(N419+O419+P419)),"Проверьте даты",IF(AND(N419&gt;0,P419&gt;1),"Дубль",IF(AND(N419&gt;0,O419&gt;0),O419,"Вне аренды"))))</f>
        <v/>
      </c>
      <c r="G419" s="12">
        <f>IF(ISNUMBER(F419),IFERROR(INDEX(Брони!$C$2:$C$500,MATCH(F419,Брони!$A$2:$A$500,0)),""),"")</f>
        <v/>
      </c>
      <c r="H419" s="10" t="n"/>
      <c r="I419" s="18" t="n"/>
      <c r="J419" s="12">
        <f>IF(AND(ISNUMBER(F419),I419&lt;&gt;""),IFERROR(IF(AND(INDEX(Брони!$F$2:$F$500,MATCH(F419,Брони!$A$2:$A$500,0))="Возвращена",I419&gt;INDEX(Брони!$E$2:$E$500,MATCH(F419,Брони!$A$2:$A$500,0))),"Да",""),""),"")</f>
        <v/>
      </c>
      <c r="K419" s="10" t="n"/>
      <c r="L419" s="14" t="n"/>
      <c r="M419" s="15">
        <f>IF(OR(A419="",B419=""),"",IF(AND(ISNUMBER(F419),H419&lt;&gt;"Компания"),D419+L419,0))</f>
        <v/>
      </c>
      <c r="N419" s="21">
        <f>SUMPRODUCT(MAX((Брони!$B$2:$B$500=B419)*((Брони!$F$2:$F$500="Выдана")+(Брони!$F$2:$F$500="Возвращена"))*(Брони!$D$2:$D$500&lt;=A419)*Брони!$D$2:$D$500))</f>
        <v/>
      </c>
      <c r="O419" s="19">
        <f>SUMPRODUCT((Брони!$B$2:$B$500=B419)*(Брони!$D$2:$D$500=N419)*((((Брони!$F$2:$F$500="Выдана")*NOW())+((Брони!$F$2:$F$500="Возвращена")*Брони!$E$2:$E$500))&gt;=A419)*Брони!$A$2:$A$500)</f>
        <v/>
      </c>
      <c r="P419" s="19">
        <f>SUMPRODUCT((Брони!$B$2:$B$500=B419)*(Брони!$D$2:$D$500=N419)*(((Брони!$F$2:$F$500="Выдана")+(Брони!$F$2:$F$500="Возвращена"))))</f>
        <v/>
      </c>
      <c r="Q419" s="10" t="n"/>
    </row>
    <row r="420">
      <c r="A420" s="11" t="n"/>
      <c r="B420" s="10" t="n"/>
      <c r="C420" s="10" t="n"/>
      <c r="D420" s="14" t="n"/>
      <c r="E420" s="10" t="n"/>
      <c r="F420" s="20">
        <f>IF(OR(A420="",B420=""),"",IF(OR(NOT(ISNUMBER(A420)),ISERROR(N420+O420+P420)),"Проверьте даты",IF(AND(N420&gt;0,P420&gt;1),"Дубль",IF(AND(N420&gt;0,O420&gt;0),O420,"Вне аренды"))))</f>
        <v/>
      </c>
      <c r="G420" s="12">
        <f>IF(ISNUMBER(F420),IFERROR(INDEX(Брони!$C$2:$C$500,MATCH(F420,Брони!$A$2:$A$500,0)),""),"")</f>
        <v/>
      </c>
      <c r="H420" s="10" t="n"/>
      <c r="I420" s="18" t="n"/>
      <c r="J420" s="12">
        <f>IF(AND(ISNUMBER(F420),I420&lt;&gt;""),IFERROR(IF(AND(INDEX(Брони!$F$2:$F$500,MATCH(F420,Брони!$A$2:$A$500,0))="Возвращена",I420&gt;INDEX(Брони!$E$2:$E$500,MATCH(F420,Брони!$A$2:$A$500,0))),"Да",""),""),"")</f>
        <v/>
      </c>
      <c r="K420" s="10" t="n"/>
      <c r="L420" s="14" t="n"/>
      <c r="M420" s="15">
        <f>IF(OR(A420="",B420=""),"",IF(AND(ISNUMBER(F420),H420&lt;&gt;"Компания"),D420+L420,0))</f>
        <v/>
      </c>
      <c r="N420" s="21">
        <f>SUMPRODUCT(MAX((Брони!$B$2:$B$500=B420)*((Брони!$F$2:$F$500="Выдана")+(Брони!$F$2:$F$500="Возвращена"))*(Брони!$D$2:$D$500&lt;=A420)*Брони!$D$2:$D$500))</f>
        <v/>
      </c>
      <c r="O420" s="19">
        <f>SUMPRODUCT((Брони!$B$2:$B$500=B420)*(Брони!$D$2:$D$500=N420)*((((Брони!$F$2:$F$500="Выдана")*NOW())+((Брони!$F$2:$F$500="Возвращена")*Брони!$E$2:$E$500))&gt;=A420)*Брони!$A$2:$A$500)</f>
        <v/>
      </c>
      <c r="P420" s="19">
        <f>SUMPRODUCT((Брони!$B$2:$B$500=B420)*(Брони!$D$2:$D$500=N420)*(((Брони!$F$2:$F$500="Выдана")+(Брони!$F$2:$F$500="Возвращена"))))</f>
        <v/>
      </c>
      <c r="Q420" s="10" t="n"/>
    </row>
    <row r="421">
      <c r="A421" s="11" t="n"/>
      <c r="B421" s="10" t="n"/>
      <c r="C421" s="10" t="n"/>
      <c r="D421" s="14" t="n"/>
      <c r="E421" s="10" t="n"/>
      <c r="F421" s="20">
        <f>IF(OR(A421="",B421=""),"",IF(OR(NOT(ISNUMBER(A421)),ISERROR(N421+O421+P421)),"Проверьте даты",IF(AND(N421&gt;0,P421&gt;1),"Дубль",IF(AND(N421&gt;0,O421&gt;0),O421,"Вне аренды"))))</f>
        <v/>
      </c>
      <c r="G421" s="12">
        <f>IF(ISNUMBER(F421),IFERROR(INDEX(Брони!$C$2:$C$500,MATCH(F421,Брони!$A$2:$A$500,0)),""),"")</f>
        <v/>
      </c>
      <c r="H421" s="10" t="n"/>
      <c r="I421" s="18" t="n"/>
      <c r="J421" s="12">
        <f>IF(AND(ISNUMBER(F421),I421&lt;&gt;""),IFERROR(IF(AND(INDEX(Брони!$F$2:$F$500,MATCH(F421,Брони!$A$2:$A$500,0))="Возвращена",I421&gt;INDEX(Брони!$E$2:$E$500,MATCH(F421,Брони!$A$2:$A$500,0))),"Да",""),""),"")</f>
        <v/>
      </c>
      <c r="K421" s="10" t="n"/>
      <c r="L421" s="14" t="n"/>
      <c r="M421" s="15">
        <f>IF(OR(A421="",B421=""),"",IF(AND(ISNUMBER(F421),H421&lt;&gt;"Компания"),D421+L421,0))</f>
        <v/>
      </c>
      <c r="N421" s="21">
        <f>SUMPRODUCT(MAX((Брони!$B$2:$B$500=B421)*((Брони!$F$2:$F$500="Выдана")+(Брони!$F$2:$F$500="Возвращена"))*(Брони!$D$2:$D$500&lt;=A421)*Брони!$D$2:$D$500))</f>
        <v/>
      </c>
      <c r="O421" s="19">
        <f>SUMPRODUCT((Брони!$B$2:$B$500=B421)*(Брони!$D$2:$D$500=N421)*((((Брони!$F$2:$F$500="Выдана")*NOW())+((Брони!$F$2:$F$500="Возвращена")*Брони!$E$2:$E$500))&gt;=A421)*Брони!$A$2:$A$500)</f>
        <v/>
      </c>
      <c r="P421" s="19">
        <f>SUMPRODUCT((Брони!$B$2:$B$500=B421)*(Брони!$D$2:$D$500=N421)*(((Брони!$F$2:$F$500="Выдана")+(Брони!$F$2:$F$500="Возвращена"))))</f>
        <v/>
      </c>
      <c r="Q421" s="10" t="n"/>
    </row>
    <row r="422">
      <c r="A422" s="11" t="n"/>
      <c r="B422" s="10" t="n"/>
      <c r="C422" s="10" t="n"/>
      <c r="D422" s="14" t="n"/>
      <c r="E422" s="10" t="n"/>
      <c r="F422" s="20">
        <f>IF(OR(A422="",B422=""),"",IF(OR(NOT(ISNUMBER(A422)),ISERROR(N422+O422+P422)),"Проверьте даты",IF(AND(N422&gt;0,P422&gt;1),"Дубль",IF(AND(N422&gt;0,O422&gt;0),O422,"Вне аренды"))))</f>
        <v/>
      </c>
      <c r="G422" s="12">
        <f>IF(ISNUMBER(F422),IFERROR(INDEX(Брони!$C$2:$C$500,MATCH(F422,Брони!$A$2:$A$500,0)),""),"")</f>
        <v/>
      </c>
      <c r="H422" s="10" t="n"/>
      <c r="I422" s="18" t="n"/>
      <c r="J422" s="12">
        <f>IF(AND(ISNUMBER(F422),I422&lt;&gt;""),IFERROR(IF(AND(INDEX(Брони!$F$2:$F$500,MATCH(F422,Брони!$A$2:$A$500,0))="Возвращена",I422&gt;INDEX(Брони!$E$2:$E$500,MATCH(F422,Брони!$A$2:$A$500,0))),"Да",""),""),"")</f>
        <v/>
      </c>
      <c r="K422" s="10" t="n"/>
      <c r="L422" s="14" t="n"/>
      <c r="M422" s="15">
        <f>IF(OR(A422="",B422=""),"",IF(AND(ISNUMBER(F422),H422&lt;&gt;"Компания"),D422+L422,0))</f>
        <v/>
      </c>
      <c r="N422" s="21">
        <f>SUMPRODUCT(MAX((Брони!$B$2:$B$500=B422)*((Брони!$F$2:$F$500="Выдана")+(Брони!$F$2:$F$500="Возвращена"))*(Брони!$D$2:$D$500&lt;=A422)*Брони!$D$2:$D$500))</f>
        <v/>
      </c>
      <c r="O422" s="19">
        <f>SUMPRODUCT((Брони!$B$2:$B$500=B422)*(Брони!$D$2:$D$500=N422)*((((Брони!$F$2:$F$500="Выдана")*NOW())+((Брони!$F$2:$F$500="Возвращена")*Брони!$E$2:$E$500))&gt;=A422)*Брони!$A$2:$A$500)</f>
        <v/>
      </c>
      <c r="P422" s="19">
        <f>SUMPRODUCT((Брони!$B$2:$B$500=B422)*(Брони!$D$2:$D$500=N422)*(((Брони!$F$2:$F$500="Выдана")+(Брони!$F$2:$F$500="Возвращена"))))</f>
        <v/>
      </c>
      <c r="Q422" s="10" t="n"/>
    </row>
    <row r="423">
      <c r="A423" s="11" t="n"/>
      <c r="B423" s="10" t="n"/>
      <c r="C423" s="10" t="n"/>
      <c r="D423" s="14" t="n"/>
      <c r="E423" s="10" t="n"/>
      <c r="F423" s="20">
        <f>IF(OR(A423="",B423=""),"",IF(OR(NOT(ISNUMBER(A423)),ISERROR(N423+O423+P423)),"Проверьте даты",IF(AND(N423&gt;0,P423&gt;1),"Дубль",IF(AND(N423&gt;0,O423&gt;0),O423,"Вне аренды"))))</f>
        <v/>
      </c>
      <c r="G423" s="12">
        <f>IF(ISNUMBER(F423),IFERROR(INDEX(Брони!$C$2:$C$500,MATCH(F423,Брони!$A$2:$A$500,0)),""),"")</f>
        <v/>
      </c>
      <c r="H423" s="10" t="n"/>
      <c r="I423" s="18" t="n"/>
      <c r="J423" s="12">
        <f>IF(AND(ISNUMBER(F423),I423&lt;&gt;""),IFERROR(IF(AND(INDEX(Брони!$F$2:$F$500,MATCH(F423,Брони!$A$2:$A$500,0))="Возвращена",I423&gt;INDEX(Брони!$E$2:$E$500,MATCH(F423,Брони!$A$2:$A$500,0))),"Да",""),""),"")</f>
        <v/>
      </c>
      <c r="K423" s="10" t="n"/>
      <c r="L423" s="14" t="n"/>
      <c r="M423" s="15">
        <f>IF(OR(A423="",B423=""),"",IF(AND(ISNUMBER(F423),H423&lt;&gt;"Компания"),D423+L423,0))</f>
        <v/>
      </c>
      <c r="N423" s="21">
        <f>SUMPRODUCT(MAX((Брони!$B$2:$B$500=B423)*((Брони!$F$2:$F$500="Выдана")+(Брони!$F$2:$F$500="Возвращена"))*(Брони!$D$2:$D$500&lt;=A423)*Брони!$D$2:$D$500))</f>
        <v/>
      </c>
      <c r="O423" s="19">
        <f>SUMPRODUCT((Брони!$B$2:$B$500=B423)*(Брони!$D$2:$D$500=N423)*((((Брони!$F$2:$F$500="Выдана")*NOW())+((Брони!$F$2:$F$500="Возвращена")*Брони!$E$2:$E$500))&gt;=A423)*Брони!$A$2:$A$500)</f>
        <v/>
      </c>
      <c r="P423" s="19">
        <f>SUMPRODUCT((Брони!$B$2:$B$500=B423)*(Брони!$D$2:$D$500=N423)*(((Брони!$F$2:$F$500="Выдана")+(Брони!$F$2:$F$500="Возвращена"))))</f>
        <v/>
      </c>
      <c r="Q423" s="10" t="n"/>
    </row>
    <row r="424">
      <c r="A424" s="11" t="n"/>
      <c r="B424" s="10" t="n"/>
      <c r="C424" s="10" t="n"/>
      <c r="D424" s="14" t="n"/>
      <c r="E424" s="10" t="n"/>
      <c r="F424" s="20">
        <f>IF(OR(A424="",B424=""),"",IF(OR(NOT(ISNUMBER(A424)),ISERROR(N424+O424+P424)),"Проверьте даты",IF(AND(N424&gt;0,P424&gt;1),"Дубль",IF(AND(N424&gt;0,O424&gt;0),O424,"Вне аренды"))))</f>
        <v/>
      </c>
      <c r="G424" s="12">
        <f>IF(ISNUMBER(F424),IFERROR(INDEX(Брони!$C$2:$C$500,MATCH(F424,Брони!$A$2:$A$500,0)),""),"")</f>
        <v/>
      </c>
      <c r="H424" s="10" t="n"/>
      <c r="I424" s="18" t="n"/>
      <c r="J424" s="12">
        <f>IF(AND(ISNUMBER(F424),I424&lt;&gt;""),IFERROR(IF(AND(INDEX(Брони!$F$2:$F$500,MATCH(F424,Брони!$A$2:$A$500,0))="Возвращена",I424&gt;INDEX(Брони!$E$2:$E$500,MATCH(F424,Брони!$A$2:$A$500,0))),"Да",""),""),"")</f>
        <v/>
      </c>
      <c r="K424" s="10" t="n"/>
      <c r="L424" s="14" t="n"/>
      <c r="M424" s="15">
        <f>IF(OR(A424="",B424=""),"",IF(AND(ISNUMBER(F424),H424&lt;&gt;"Компания"),D424+L424,0))</f>
        <v/>
      </c>
      <c r="N424" s="21">
        <f>SUMPRODUCT(MAX((Брони!$B$2:$B$500=B424)*((Брони!$F$2:$F$500="Выдана")+(Брони!$F$2:$F$500="Возвращена"))*(Брони!$D$2:$D$500&lt;=A424)*Брони!$D$2:$D$500))</f>
        <v/>
      </c>
      <c r="O424" s="19">
        <f>SUMPRODUCT((Брони!$B$2:$B$500=B424)*(Брони!$D$2:$D$500=N424)*((((Брони!$F$2:$F$500="Выдана")*NOW())+((Брони!$F$2:$F$500="Возвращена")*Брони!$E$2:$E$500))&gt;=A424)*Брони!$A$2:$A$500)</f>
        <v/>
      </c>
      <c r="P424" s="19">
        <f>SUMPRODUCT((Брони!$B$2:$B$500=B424)*(Брони!$D$2:$D$500=N424)*(((Брони!$F$2:$F$500="Выдана")+(Брони!$F$2:$F$500="Возвращена"))))</f>
        <v/>
      </c>
      <c r="Q424" s="10" t="n"/>
    </row>
    <row r="425">
      <c r="A425" s="11" t="n"/>
      <c r="B425" s="10" t="n"/>
      <c r="C425" s="10" t="n"/>
      <c r="D425" s="14" t="n"/>
      <c r="E425" s="10" t="n"/>
      <c r="F425" s="20">
        <f>IF(OR(A425="",B425=""),"",IF(OR(NOT(ISNUMBER(A425)),ISERROR(N425+O425+P425)),"Проверьте даты",IF(AND(N425&gt;0,P425&gt;1),"Дубль",IF(AND(N425&gt;0,O425&gt;0),O425,"Вне аренды"))))</f>
        <v/>
      </c>
      <c r="G425" s="12">
        <f>IF(ISNUMBER(F425),IFERROR(INDEX(Брони!$C$2:$C$500,MATCH(F425,Брони!$A$2:$A$500,0)),""),"")</f>
        <v/>
      </c>
      <c r="H425" s="10" t="n"/>
      <c r="I425" s="18" t="n"/>
      <c r="J425" s="12">
        <f>IF(AND(ISNUMBER(F425),I425&lt;&gt;""),IFERROR(IF(AND(INDEX(Брони!$F$2:$F$500,MATCH(F425,Брони!$A$2:$A$500,0))="Возвращена",I425&gt;INDEX(Брони!$E$2:$E$500,MATCH(F425,Брони!$A$2:$A$500,0))),"Да",""),""),"")</f>
        <v/>
      </c>
      <c r="K425" s="10" t="n"/>
      <c r="L425" s="14" t="n"/>
      <c r="M425" s="15">
        <f>IF(OR(A425="",B425=""),"",IF(AND(ISNUMBER(F425),H425&lt;&gt;"Компания"),D425+L425,0))</f>
        <v/>
      </c>
      <c r="N425" s="21">
        <f>SUMPRODUCT(MAX((Брони!$B$2:$B$500=B425)*((Брони!$F$2:$F$500="Выдана")+(Брони!$F$2:$F$500="Возвращена"))*(Брони!$D$2:$D$500&lt;=A425)*Брони!$D$2:$D$500))</f>
        <v/>
      </c>
      <c r="O425" s="19">
        <f>SUMPRODUCT((Брони!$B$2:$B$500=B425)*(Брони!$D$2:$D$500=N425)*((((Брони!$F$2:$F$500="Выдана")*NOW())+((Брони!$F$2:$F$500="Возвращена")*Брони!$E$2:$E$500))&gt;=A425)*Брони!$A$2:$A$500)</f>
        <v/>
      </c>
      <c r="P425" s="19">
        <f>SUMPRODUCT((Брони!$B$2:$B$500=B425)*(Брони!$D$2:$D$500=N425)*(((Брони!$F$2:$F$500="Выдана")+(Брони!$F$2:$F$500="Возвращена"))))</f>
        <v/>
      </c>
      <c r="Q425" s="10" t="n"/>
    </row>
    <row r="426">
      <c r="A426" s="11" t="n"/>
      <c r="B426" s="10" t="n"/>
      <c r="C426" s="10" t="n"/>
      <c r="D426" s="14" t="n"/>
      <c r="E426" s="10" t="n"/>
      <c r="F426" s="20">
        <f>IF(OR(A426="",B426=""),"",IF(OR(NOT(ISNUMBER(A426)),ISERROR(N426+O426+P426)),"Проверьте даты",IF(AND(N426&gt;0,P426&gt;1),"Дубль",IF(AND(N426&gt;0,O426&gt;0),O426,"Вне аренды"))))</f>
        <v/>
      </c>
      <c r="G426" s="12">
        <f>IF(ISNUMBER(F426),IFERROR(INDEX(Брони!$C$2:$C$500,MATCH(F426,Брони!$A$2:$A$500,0)),""),"")</f>
        <v/>
      </c>
      <c r="H426" s="10" t="n"/>
      <c r="I426" s="18" t="n"/>
      <c r="J426" s="12">
        <f>IF(AND(ISNUMBER(F426),I426&lt;&gt;""),IFERROR(IF(AND(INDEX(Брони!$F$2:$F$500,MATCH(F426,Брони!$A$2:$A$500,0))="Возвращена",I426&gt;INDEX(Брони!$E$2:$E$500,MATCH(F426,Брони!$A$2:$A$500,0))),"Да",""),""),"")</f>
        <v/>
      </c>
      <c r="K426" s="10" t="n"/>
      <c r="L426" s="14" t="n"/>
      <c r="M426" s="15">
        <f>IF(OR(A426="",B426=""),"",IF(AND(ISNUMBER(F426),H426&lt;&gt;"Компания"),D426+L426,0))</f>
        <v/>
      </c>
      <c r="N426" s="21">
        <f>SUMPRODUCT(MAX((Брони!$B$2:$B$500=B426)*((Брони!$F$2:$F$500="Выдана")+(Брони!$F$2:$F$500="Возвращена"))*(Брони!$D$2:$D$500&lt;=A426)*Брони!$D$2:$D$500))</f>
        <v/>
      </c>
      <c r="O426" s="19">
        <f>SUMPRODUCT((Брони!$B$2:$B$500=B426)*(Брони!$D$2:$D$500=N426)*((((Брони!$F$2:$F$500="Выдана")*NOW())+((Брони!$F$2:$F$500="Возвращена")*Брони!$E$2:$E$500))&gt;=A426)*Брони!$A$2:$A$500)</f>
        <v/>
      </c>
      <c r="P426" s="19">
        <f>SUMPRODUCT((Брони!$B$2:$B$500=B426)*(Брони!$D$2:$D$500=N426)*(((Брони!$F$2:$F$500="Выдана")+(Брони!$F$2:$F$500="Возвращена"))))</f>
        <v/>
      </c>
      <c r="Q426" s="10" t="n"/>
    </row>
    <row r="427">
      <c r="A427" s="11" t="n"/>
      <c r="B427" s="10" t="n"/>
      <c r="C427" s="10" t="n"/>
      <c r="D427" s="14" t="n"/>
      <c r="E427" s="10" t="n"/>
      <c r="F427" s="20">
        <f>IF(OR(A427="",B427=""),"",IF(OR(NOT(ISNUMBER(A427)),ISERROR(N427+O427+P427)),"Проверьте даты",IF(AND(N427&gt;0,P427&gt;1),"Дубль",IF(AND(N427&gt;0,O427&gt;0),O427,"Вне аренды"))))</f>
        <v/>
      </c>
      <c r="G427" s="12">
        <f>IF(ISNUMBER(F427),IFERROR(INDEX(Брони!$C$2:$C$500,MATCH(F427,Брони!$A$2:$A$500,0)),""),"")</f>
        <v/>
      </c>
      <c r="H427" s="10" t="n"/>
      <c r="I427" s="18" t="n"/>
      <c r="J427" s="12">
        <f>IF(AND(ISNUMBER(F427),I427&lt;&gt;""),IFERROR(IF(AND(INDEX(Брони!$F$2:$F$500,MATCH(F427,Брони!$A$2:$A$500,0))="Возвращена",I427&gt;INDEX(Брони!$E$2:$E$500,MATCH(F427,Брони!$A$2:$A$500,0))),"Да",""),""),"")</f>
        <v/>
      </c>
      <c r="K427" s="10" t="n"/>
      <c r="L427" s="14" t="n"/>
      <c r="M427" s="15">
        <f>IF(OR(A427="",B427=""),"",IF(AND(ISNUMBER(F427),H427&lt;&gt;"Компания"),D427+L427,0))</f>
        <v/>
      </c>
      <c r="N427" s="21">
        <f>SUMPRODUCT(MAX((Брони!$B$2:$B$500=B427)*((Брони!$F$2:$F$500="Выдана")+(Брони!$F$2:$F$500="Возвращена"))*(Брони!$D$2:$D$500&lt;=A427)*Брони!$D$2:$D$500))</f>
        <v/>
      </c>
      <c r="O427" s="19">
        <f>SUMPRODUCT((Брони!$B$2:$B$500=B427)*(Брони!$D$2:$D$500=N427)*((((Брони!$F$2:$F$500="Выдана")*NOW())+((Брони!$F$2:$F$500="Возвращена")*Брони!$E$2:$E$500))&gt;=A427)*Брони!$A$2:$A$500)</f>
        <v/>
      </c>
      <c r="P427" s="19">
        <f>SUMPRODUCT((Брони!$B$2:$B$500=B427)*(Брони!$D$2:$D$500=N427)*(((Брони!$F$2:$F$500="Выдана")+(Брони!$F$2:$F$500="Возвращена"))))</f>
        <v/>
      </c>
      <c r="Q427" s="10" t="n"/>
    </row>
    <row r="428">
      <c r="A428" s="11" t="n"/>
      <c r="B428" s="10" t="n"/>
      <c r="C428" s="10" t="n"/>
      <c r="D428" s="14" t="n"/>
      <c r="E428" s="10" t="n"/>
      <c r="F428" s="20">
        <f>IF(OR(A428="",B428=""),"",IF(OR(NOT(ISNUMBER(A428)),ISERROR(N428+O428+P428)),"Проверьте даты",IF(AND(N428&gt;0,P428&gt;1),"Дубль",IF(AND(N428&gt;0,O428&gt;0),O428,"Вне аренды"))))</f>
        <v/>
      </c>
      <c r="G428" s="12">
        <f>IF(ISNUMBER(F428),IFERROR(INDEX(Брони!$C$2:$C$500,MATCH(F428,Брони!$A$2:$A$500,0)),""),"")</f>
        <v/>
      </c>
      <c r="H428" s="10" t="n"/>
      <c r="I428" s="18" t="n"/>
      <c r="J428" s="12">
        <f>IF(AND(ISNUMBER(F428),I428&lt;&gt;""),IFERROR(IF(AND(INDEX(Брони!$F$2:$F$500,MATCH(F428,Брони!$A$2:$A$500,0))="Возвращена",I428&gt;INDEX(Брони!$E$2:$E$500,MATCH(F428,Брони!$A$2:$A$500,0))),"Да",""),""),"")</f>
        <v/>
      </c>
      <c r="K428" s="10" t="n"/>
      <c r="L428" s="14" t="n"/>
      <c r="M428" s="15">
        <f>IF(OR(A428="",B428=""),"",IF(AND(ISNUMBER(F428),H428&lt;&gt;"Компания"),D428+L428,0))</f>
        <v/>
      </c>
      <c r="N428" s="21">
        <f>SUMPRODUCT(MAX((Брони!$B$2:$B$500=B428)*((Брони!$F$2:$F$500="Выдана")+(Брони!$F$2:$F$500="Возвращена"))*(Брони!$D$2:$D$500&lt;=A428)*Брони!$D$2:$D$500))</f>
        <v/>
      </c>
      <c r="O428" s="19">
        <f>SUMPRODUCT((Брони!$B$2:$B$500=B428)*(Брони!$D$2:$D$500=N428)*((((Брони!$F$2:$F$500="Выдана")*NOW())+((Брони!$F$2:$F$500="Возвращена")*Брони!$E$2:$E$500))&gt;=A428)*Брони!$A$2:$A$500)</f>
        <v/>
      </c>
      <c r="P428" s="19">
        <f>SUMPRODUCT((Брони!$B$2:$B$500=B428)*(Брони!$D$2:$D$500=N428)*(((Брони!$F$2:$F$500="Выдана")+(Брони!$F$2:$F$500="Возвращена"))))</f>
        <v/>
      </c>
      <c r="Q428" s="10" t="n"/>
    </row>
    <row r="429">
      <c r="A429" s="11" t="n"/>
      <c r="B429" s="10" t="n"/>
      <c r="C429" s="10" t="n"/>
      <c r="D429" s="14" t="n"/>
      <c r="E429" s="10" t="n"/>
      <c r="F429" s="20">
        <f>IF(OR(A429="",B429=""),"",IF(OR(NOT(ISNUMBER(A429)),ISERROR(N429+O429+P429)),"Проверьте даты",IF(AND(N429&gt;0,P429&gt;1),"Дубль",IF(AND(N429&gt;0,O429&gt;0),O429,"Вне аренды"))))</f>
        <v/>
      </c>
      <c r="G429" s="12">
        <f>IF(ISNUMBER(F429),IFERROR(INDEX(Брони!$C$2:$C$500,MATCH(F429,Брони!$A$2:$A$500,0)),""),"")</f>
        <v/>
      </c>
      <c r="H429" s="10" t="n"/>
      <c r="I429" s="18" t="n"/>
      <c r="J429" s="12">
        <f>IF(AND(ISNUMBER(F429),I429&lt;&gt;""),IFERROR(IF(AND(INDEX(Брони!$F$2:$F$500,MATCH(F429,Брони!$A$2:$A$500,0))="Возвращена",I429&gt;INDEX(Брони!$E$2:$E$500,MATCH(F429,Брони!$A$2:$A$500,0))),"Да",""),""),"")</f>
        <v/>
      </c>
      <c r="K429" s="10" t="n"/>
      <c r="L429" s="14" t="n"/>
      <c r="M429" s="15">
        <f>IF(OR(A429="",B429=""),"",IF(AND(ISNUMBER(F429),H429&lt;&gt;"Компания"),D429+L429,0))</f>
        <v/>
      </c>
      <c r="N429" s="21">
        <f>SUMPRODUCT(MAX((Брони!$B$2:$B$500=B429)*((Брони!$F$2:$F$500="Выдана")+(Брони!$F$2:$F$500="Возвращена"))*(Брони!$D$2:$D$500&lt;=A429)*Брони!$D$2:$D$500))</f>
        <v/>
      </c>
      <c r="O429" s="19">
        <f>SUMPRODUCT((Брони!$B$2:$B$500=B429)*(Брони!$D$2:$D$500=N429)*((((Брони!$F$2:$F$500="Выдана")*NOW())+((Брони!$F$2:$F$500="Возвращена")*Брони!$E$2:$E$500))&gt;=A429)*Брони!$A$2:$A$500)</f>
        <v/>
      </c>
      <c r="P429" s="19">
        <f>SUMPRODUCT((Брони!$B$2:$B$500=B429)*(Брони!$D$2:$D$500=N429)*(((Брони!$F$2:$F$500="Выдана")+(Брони!$F$2:$F$500="Возвращена"))))</f>
        <v/>
      </c>
      <c r="Q429" s="10" t="n"/>
    </row>
    <row r="430">
      <c r="A430" s="11" t="n"/>
      <c r="B430" s="10" t="n"/>
      <c r="C430" s="10" t="n"/>
      <c r="D430" s="14" t="n"/>
      <c r="E430" s="10" t="n"/>
      <c r="F430" s="20">
        <f>IF(OR(A430="",B430=""),"",IF(OR(NOT(ISNUMBER(A430)),ISERROR(N430+O430+P430)),"Проверьте даты",IF(AND(N430&gt;0,P430&gt;1),"Дубль",IF(AND(N430&gt;0,O430&gt;0),O430,"Вне аренды"))))</f>
        <v/>
      </c>
      <c r="G430" s="12">
        <f>IF(ISNUMBER(F430),IFERROR(INDEX(Брони!$C$2:$C$500,MATCH(F430,Брони!$A$2:$A$500,0)),""),"")</f>
        <v/>
      </c>
      <c r="H430" s="10" t="n"/>
      <c r="I430" s="18" t="n"/>
      <c r="J430" s="12">
        <f>IF(AND(ISNUMBER(F430),I430&lt;&gt;""),IFERROR(IF(AND(INDEX(Брони!$F$2:$F$500,MATCH(F430,Брони!$A$2:$A$500,0))="Возвращена",I430&gt;INDEX(Брони!$E$2:$E$500,MATCH(F430,Брони!$A$2:$A$500,0))),"Да",""),""),"")</f>
        <v/>
      </c>
      <c r="K430" s="10" t="n"/>
      <c r="L430" s="14" t="n"/>
      <c r="M430" s="15">
        <f>IF(OR(A430="",B430=""),"",IF(AND(ISNUMBER(F430),H430&lt;&gt;"Компания"),D430+L430,0))</f>
        <v/>
      </c>
      <c r="N430" s="21">
        <f>SUMPRODUCT(MAX((Брони!$B$2:$B$500=B430)*((Брони!$F$2:$F$500="Выдана")+(Брони!$F$2:$F$500="Возвращена"))*(Брони!$D$2:$D$500&lt;=A430)*Брони!$D$2:$D$500))</f>
        <v/>
      </c>
      <c r="O430" s="19">
        <f>SUMPRODUCT((Брони!$B$2:$B$500=B430)*(Брони!$D$2:$D$500=N430)*((((Брони!$F$2:$F$500="Выдана")*NOW())+((Брони!$F$2:$F$500="Возвращена")*Брони!$E$2:$E$500))&gt;=A430)*Брони!$A$2:$A$500)</f>
        <v/>
      </c>
      <c r="P430" s="19">
        <f>SUMPRODUCT((Брони!$B$2:$B$500=B430)*(Брони!$D$2:$D$500=N430)*(((Брони!$F$2:$F$500="Выдана")+(Брони!$F$2:$F$500="Возвращена"))))</f>
        <v/>
      </c>
      <c r="Q430" s="10" t="n"/>
    </row>
    <row r="431">
      <c r="A431" s="11" t="n"/>
      <c r="B431" s="10" t="n"/>
      <c r="C431" s="10" t="n"/>
      <c r="D431" s="14" t="n"/>
      <c r="E431" s="10" t="n"/>
      <c r="F431" s="20">
        <f>IF(OR(A431="",B431=""),"",IF(OR(NOT(ISNUMBER(A431)),ISERROR(N431+O431+P431)),"Проверьте даты",IF(AND(N431&gt;0,P431&gt;1),"Дубль",IF(AND(N431&gt;0,O431&gt;0),O431,"Вне аренды"))))</f>
        <v/>
      </c>
      <c r="G431" s="12">
        <f>IF(ISNUMBER(F431),IFERROR(INDEX(Брони!$C$2:$C$500,MATCH(F431,Брони!$A$2:$A$500,0)),""),"")</f>
        <v/>
      </c>
      <c r="H431" s="10" t="n"/>
      <c r="I431" s="18" t="n"/>
      <c r="J431" s="12">
        <f>IF(AND(ISNUMBER(F431),I431&lt;&gt;""),IFERROR(IF(AND(INDEX(Брони!$F$2:$F$500,MATCH(F431,Брони!$A$2:$A$500,0))="Возвращена",I431&gt;INDEX(Брони!$E$2:$E$500,MATCH(F431,Брони!$A$2:$A$500,0))),"Да",""),""),"")</f>
        <v/>
      </c>
      <c r="K431" s="10" t="n"/>
      <c r="L431" s="14" t="n"/>
      <c r="M431" s="15">
        <f>IF(OR(A431="",B431=""),"",IF(AND(ISNUMBER(F431),H431&lt;&gt;"Компания"),D431+L431,0))</f>
        <v/>
      </c>
      <c r="N431" s="21">
        <f>SUMPRODUCT(MAX((Брони!$B$2:$B$500=B431)*((Брони!$F$2:$F$500="Выдана")+(Брони!$F$2:$F$500="Возвращена"))*(Брони!$D$2:$D$500&lt;=A431)*Брони!$D$2:$D$500))</f>
        <v/>
      </c>
      <c r="O431" s="19">
        <f>SUMPRODUCT((Брони!$B$2:$B$500=B431)*(Брони!$D$2:$D$500=N431)*((((Брони!$F$2:$F$500="Выдана")*NOW())+((Брони!$F$2:$F$500="Возвращена")*Брони!$E$2:$E$500))&gt;=A431)*Брони!$A$2:$A$500)</f>
        <v/>
      </c>
      <c r="P431" s="19">
        <f>SUMPRODUCT((Брони!$B$2:$B$500=B431)*(Брони!$D$2:$D$500=N431)*(((Брони!$F$2:$F$500="Выдана")+(Брони!$F$2:$F$500="Возвращена"))))</f>
        <v/>
      </c>
      <c r="Q431" s="10" t="n"/>
    </row>
    <row r="432">
      <c r="A432" s="11" t="n"/>
      <c r="B432" s="10" t="n"/>
      <c r="C432" s="10" t="n"/>
      <c r="D432" s="14" t="n"/>
      <c r="E432" s="10" t="n"/>
      <c r="F432" s="20">
        <f>IF(OR(A432="",B432=""),"",IF(OR(NOT(ISNUMBER(A432)),ISERROR(N432+O432+P432)),"Проверьте даты",IF(AND(N432&gt;0,P432&gt;1),"Дубль",IF(AND(N432&gt;0,O432&gt;0),O432,"Вне аренды"))))</f>
        <v/>
      </c>
      <c r="G432" s="12">
        <f>IF(ISNUMBER(F432),IFERROR(INDEX(Брони!$C$2:$C$500,MATCH(F432,Брони!$A$2:$A$500,0)),""),"")</f>
        <v/>
      </c>
      <c r="H432" s="10" t="n"/>
      <c r="I432" s="18" t="n"/>
      <c r="J432" s="12">
        <f>IF(AND(ISNUMBER(F432),I432&lt;&gt;""),IFERROR(IF(AND(INDEX(Брони!$F$2:$F$500,MATCH(F432,Брони!$A$2:$A$500,0))="Возвращена",I432&gt;INDEX(Брони!$E$2:$E$500,MATCH(F432,Брони!$A$2:$A$500,0))),"Да",""),""),"")</f>
        <v/>
      </c>
      <c r="K432" s="10" t="n"/>
      <c r="L432" s="14" t="n"/>
      <c r="M432" s="15">
        <f>IF(OR(A432="",B432=""),"",IF(AND(ISNUMBER(F432),H432&lt;&gt;"Компания"),D432+L432,0))</f>
        <v/>
      </c>
      <c r="N432" s="21">
        <f>SUMPRODUCT(MAX((Брони!$B$2:$B$500=B432)*((Брони!$F$2:$F$500="Выдана")+(Брони!$F$2:$F$500="Возвращена"))*(Брони!$D$2:$D$500&lt;=A432)*Брони!$D$2:$D$500))</f>
        <v/>
      </c>
      <c r="O432" s="19">
        <f>SUMPRODUCT((Брони!$B$2:$B$500=B432)*(Брони!$D$2:$D$500=N432)*((((Брони!$F$2:$F$500="Выдана")*NOW())+((Брони!$F$2:$F$500="Возвращена")*Брони!$E$2:$E$500))&gt;=A432)*Брони!$A$2:$A$500)</f>
        <v/>
      </c>
      <c r="P432" s="19">
        <f>SUMPRODUCT((Брони!$B$2:$B$500=B432)*(Брони!$D$2:$D$500=N432)*(((Брони!$F$2:$F$500="Выдана")+(Брони!$F$2:$F$500="Возвращена"))))</f>
        <v/>
      </c>
      <c r="Q432" s="10" t="n"/>
    </row>
    <row r="433">
      <c r="A433" s="11" t="n"/>
      <c r="B433" s="10" t="n"/>
      <c r="C433" s="10" t="n"/>
      <c r="D433" s="14" t="n"/>
      <c r="E433" s="10" t="n"/>
      <c r="F433" s="20">
        <f>IF(OR(A433="",B433=""),"",IF(OR(NOT(ISNUMBER(A433)),ISERROR(N433+O433+P433)),"Проверьте даты",IF(AND(N433&gt;0,P433&gt;1),"Дубль",IF(AND(N433&gt;0,O433&gt;0),O433,"Вне аренды"))))</f>
        <v/>
      </c>
      <c r="G433" s="12">
        <f>IF(ISNUMBER(F433),IFERROR(INDEX(Брони!$C$2:$C$500,MATCH(F433,Брони!$A$2:$A$500,0)),""),"")</f>
        <v/>
      </c>
      <c r="H433" s="10" t="n"/>
      <c r="I433" s="18" t="n"/>
      <c r="J433" s="12">
        <f>IF(AND(ISNUMBER(F433),I433&lt;&gt;""),IFERROR(IF(AND(INDEX(Брони!$F$2:$F$500,MATCH(F433,Брони!$A$2:$A$500,0))="Возвращена",I433&gt;INDEX(Брони!$E$2:$E$500,MATCH(F433,Брони!$A$2:$A$500,0))),"Да",""),""),"")</f>
        <v/>
      </c>
      <c r="K433" s="10" t="n"/>
      <c r="L433" s="14" t="n"/>
      <c r="M433" s="15">
        <f>IF(OR(A433="",B433=""),"",IF(AND(ISNUMBER(F433),H433&lt;&gt;"Компания"),D433+L433,0))</f>
        <v/>
      </c>
      <c r="N433" s="21">
        <f>SUMPRODUCT(MAX((Брони!$B$2:$B$500=B433)*((Брони!$F$2:$F$500="Выдана")+(Брони!$F$2:$F$500="Возвращена"))*(Брони!$D$2:$D$500&lt;=A433)*Брони!$D$2:$D$500))</f>
        <v/>
      </c>
      <c r="O433" s="19">
        <f>SUMPRODUCT((Брони!$B$2:$B$500=B433)*(Брони!$D$2:$D$500=N433)*((((Брони!$F$2:$F$500="Выдана")*NOW())+((Брони!$F$2:$F$500="Возвращена")*Брони!$E$2:$E$500))&gt;=A433)*Брони!$A$2:$A$500)</f>
        <v/>
      </c>
      <c r="P433" s="19">
        <f>SUMPRODUCT((Брони!$B$2:$B$500=B433)*(Брони!$D$2:$D$500=N433)*(((Брони!$F$2:$F$500="Выдана")+(Брони!$F$2:$F$500="Возвращена"))))</f>
        <v/>
      </c>
      <c r="Q433" s="10" t="n"/>
    </row>
    <row r="434">
      <c r="A434" s="11" t="n"/>
      <c r="B434" s="10" t="n"/>
      <c r="C434" s="10" t="n"/>
      <c r="D434" s="14" t="n"/>
      <c r="E434" s="10" t="n"/>
      <c r="F434" s="20">
        <f>IF(OR(A434="",B434=""),"",IF(OR(NOT(ISNUMBER(A434)),ISERROR(N434+O434+P434)),"Проверьте даты",IF(AND(N434&gt;0,P434&gt;1),"Дубль",IF(AND(N434&gt;0,O434&gt;0),O434,"Вне аренды"))))</f>
        <v/>
      </c>
      <c r="G434" s="12">
        <f>IF(ISNUMBER(F434),IFERROR(INDEX(Брони!$C$2:$C$500,MATCH(F434,Брони!$A$2:$A$500,0)),""),"")</f>
        <v/>
      </c>
      <c r="H434" s="10" t="n"/>
      <c r="I434" s="18" t="n"/>
      <c r="J434" s="12">
        <f>IF(AND(ISNUMBER(F434),I434&lt;&gt;""),IFERROR(IF(AND(INDEX(Брони!$F$2:$F$500,MATCH(F434,Брони!$A$2:$A$500,0))="Возвращена",I434&gt;INDEX(Брони!$E$2:$E$500,MATCH(F434,Брони!$A$2:$A$500,0))),"Да",""),""),"")</f>
        <v/>
      </c>
      <c r="K434" s="10" t="n"/>
      <c r="L434" s="14" t="n"/>
      <c r="M434" s="15">
        <f>IF(OR(A434="",B434=""),"",IF(AND(ISNUMBER(F434),H434&lt;&gt;"Компания"),D434+L434,0))</f>
        <v/>
      </c>
      <c r="N434" s="21">
        <f>SUMPRODUCT(MAX((Брони!$B$2:$B$500=B434)*((Брони!$F$2:$F$500="Выдана")+(Брони!$F$2:$F$500="Возвращена"))*(Брони!$D$2:$D$500&lt;=A434)*Брони!$D$2:$D$500))</f>
        <v/>
      </c>
      <c r="O434" s="19">
        <f>SUMPRODUCT((Брони!$B$2:$B$500=B434)*(Брони!$D$2:$D$500=N434)*((((Брони!$F$2:$F$500="Выдана")*NOW())+((Брони!$F$2:$F$500="Возвращена")*Брони!$E$2:$E$500))&gt;=A434)*Брони!$A$2:$A$500)</f>
        <v/>
      </c>
      <c r="P434" s="19">
        <f>SUMPRODUCT((Брони!$B$2:$B$500=B434)*(Брони!$D$2:$D$500=N434)*(((Брони!$F$2:$F$500="Выдана")+(Брони!$F$2:$F$500="Возвращена"))))</f>
        <v/>
      </c>
      <c r="Q434" s="10" t="n"/>
    </row>
    <row r="435">
      <c r="A435" s="11" t="n"/>
      <c r="B435" s="10" t="n"/>
      <c r="C435" s="10" t="n"/>
      <c r="D435" s="14" t="n"/>
      <c r="E435" s="10" t="n"/>
      <c r="F435" s="20">
        <f>IF(OR(A435="",B435=""),"",IF(OR(NOT(ISNUMBER(A435)),ISERROR(N435+O435+P435)),"Проверьте даты",IF(AND(N435&gt;0,P435&gt;1),"Дубль",IF(AND(N435&gt;0,O435&gt;0),O435,"Вне аренды"))))</f>
        <v/>
      </c>
      <c r="G435" s="12">
        <f>IF(ISNUMBER(F435),IFERROR(INDEX(Брони!$C$2:$C$500,MATCH(F435,Брони!$A$2:$A$500,0)),""),"")</f>
        <v/>
      </c>
      <c r="H435" s="10" t="n"/>
      <c r="I435" s="18" t="n"/>
      <c r="J435" s="12">
        <f>IF(AND(ISNUMBER(F435),I435&lt;&gt;""),IFERROR(IF(AND(INDEX(Брони!$F$2:$F$500,MATCH(F435,Брони!$A$2:$A$500,0))="Возвращена",I435&gt;INDEX(Брони!$E$2:$E$500,MATCH(F435,Брони!$A$2:$A$500,0))),"Да",""),""),"")</f>
        <v/>
      </c>
      <c r="K435" s="10" t="n"/>
      <c r="L435" s="14" t="n"/>
      <c r="M435" s="15">
        <f>IF(OR(A435="",B435=""),"",IF(AND(ISNUMBER(F435),H435&lt;&gt;"Компания"),D435+L435,0))</f>
        <v/>
      </c>
      <c r="N435" s="21">
        <f>SUMPRODUCT(MAX((Брони!$B$2:$B$500=B435)*((Брони!$F$2:$F$500="Выдана")+(Брони!$F$2:$F$500="Возвращена"))*(Брони!$D$2:$D$500&lt;=A435)*Брони!$D$2:$D$500))</f>
        <v/>
      </c>
      <c r="O435" s="19">
        <f>SUMPRODUCT((Брони!$B$2:$B$500=B435)*(Брони!$D$2:$D$500=N435)*((((Брони!$F$2:$F$500="Выдана")*NOW())+((Брони!$F$2:$F$500="Возвращена")*Брони!$E$2:$E$500))&gt;=A435)*Брони!$A$2:$A$500)</f>
        <v/>
      </c>
      <c r="P435" s="19">
        <f>SUMPRODUCT((Брони!$B$2:$B$500=B435)*(Брони!$D$2:$D$500=N435)*(((Брони!$F$2:$F$500="Выдана")+(Брони!$F$2:$F$500="Возвращена"))))</f>
        <v/>
      </c>
      <c r="Q435" s="10" t="n"/>
    </row>
    <row r="436">
      <c r="A436" s="11" t="n"/>
      <c r="B436" s="10" t="n"/>
      <c r="C436" s="10" t="n"/>
      <c r="D436" s="14" t="n"/>
      <c r="E436" s="10" t="n"/>
      <c r="F436" s="20">
        <f>IF(OR(A436="",B436=""),"",IF(OR(NOT(ISNUMBER(A436)),ISERROR(N436+O436+P436)),"Проверьте даты",IF(AND(N436&gt;0,P436&gt;1),"Дубль",IF(AND(N436&gt;0,O436&gt;0),O436,"Вне аренды"))))</f>
        <v/>
      </c>
      <c r="G436" s="12">
        <f>IF(ISNUMBER(F436),IFERROR(INDEX(Брони!$C$2:$C$500,MATCH(F436,Брони!$A$2:$A$500,0)),""),"")</f>
        <v/>
      </c>
      <c r="H436" s="10" t="n"/>
      <c r="I436" s="18" t="n"/>
      <c r="J436" s="12">
        <f>IF(AND(ISNUMBER(F436),I436&lt;&gt;""),IFERROR(IF(AND(INDEX(Брони!$F$2:$F$500,MATCH(F436,Брони!$A$2:$A$500,0))="Возвращена",I436&gt;INDEX(Брони!$E$2:$E$500,MATCH(F436,Брони!$A$2:$A$500,0))),"Да",""),""),"")</f>
        <v/>
      </c>
      <c r="K436" s="10" t="n"/>
      <c r="L436" s="14" t="n"/>
      <c r="M436" s="15">
        <f>IF(OR(A436="",B436=""),"",IF(AND(ISNUMBER(F436),H436&lt;&gt;"Компания"),D436+L436,0))</f>
        <v/>
      </c>
      <c r="N436" s="21">
        <f>SUMPRODUCT(MAX((Брони!$B$2:$B$500=B436)*((Брони!$F$2:$F$500="Выдана")+(Брони!$F$2:$F$500="Возвращена"))*(Брони!$D$2:$D$500&lt;=A436)*Брони!$D$2:$D$500))</f>
        <v/>
      </c>
      <c r="O436" s="19">
        <f>SUMPRODUCT((Брони!$B$2:$B$500=B436)*(Брони!$D$2:$D$500=N436)*((((Брони!$F$2:$F$500="Выдана")*NOW())+((Брони!$F$2:$F$500="Возвращена")*Брони!$E$2:$E$500))&gt;=A436)*Брони!$A$2:$A$500)</f>
        <v/>
      </c>
      <c r="P436" s="19">
        <f>SUMPRODUCT((Брони!$B$2:$B$500=B436)*(Брони!$D$2:$D$500=N436)*(((Брони!$F$2:$F$500="Выдана")+(Брони!$F$2:$F$500="Возвращена"))))</f>
        <v/>
      </c>
      <c r="Q436" s="10" t="n"/>
    </row>
    <row r="437">
      <c r="A437" s="11" t="n"/>
      <c r="B437" s="10" t="n"/>
      <c r="C437" s="10" t="n"/>
      <c r="D437" s="14" t="n"/>
      <c r="E437" s="10" t="n"/>
      <c r="F437" s="20">
        <f>IF(OR(A437="",B437=""),"",IF(OR(NOT(ISNUMBER(A437)),ISERROR(N437+O437+P437)),"Проверьте даты",IF(AND(N437&gt;0,P437&gt;1),"Дубль",IF(AND(N437&gt;0,O437&gt;0),O437,"Вне аренды"))))</f>
        <v/>
      </c>
      <c r="G437" s="12">
        <f>IF(ISNUMBER(F437),IFERROR(INDEX(Брони!$C$2:$C$500,MATCH(F437,Брони!$A$2:$A$500,0)),""),"")</f>
        <v/>
      </c>
      <c r="H437" s="10" t="n"/>
      <c r="I437" s="18" t="n"/>
      <c r="J437" s="12">
        <f>IF(AND(ISNUMBER(F437),I437&lt;&gt;""),IFERROR(IF(AND(INDEX(Брони!$F$2:$F$500,MATCH(F437,Брони!$A$2:$A$500,0))="Возвращена",I437&gt;INDEX(Брони!$E$2:$E$500,MATCH(F437,Брони!$A$2:$A$500,0))),"Да",""),""),"")</f>
        <v/>
      </c>
      <c r="K437" s="10" t="n"/>
      <c r="L437" s="14" t="n"/>
      <c r="M437" s="15">
        <f>IF(OR(A437="",B437=""),"",IF(AND(ISNUMBER(F437),H437&lt;&gt;"Компания"),D437+L437,0))</f>
        <v/>
      </c>
      <c r="N437" s="21">
        <f>SUMPRODUCT(MAX((Брони!$B$2:$B$500=B437)*((Брони!$F$2:$F$500="Выдана")+(Брони!$F$2:$F$500="Возвращена"))*(Брони!$D$2:$D$500&lt;=A437)*Брони!$D$2:$D$500))</f>
        <v/>
      </c>
      <c r="O437" s="19">
        <f>SUMPRODUCT((Брони!$B$2:$B$500=B437)*(Брони!$D$2:$D$500=N437)*((((Брони!$F$2:$F$500="Выдана")*NOW())+((Брони!$F$2:$F$500="Возвращена")*Брони!$E$2:$E$500))&gt;=A437)*Брони!$A$2:$A$500)</f>
        <v/>
      </c>
      <c r="P437" s="19">
        <f>SUMPRODUCT((Брони!$B$2:$B$500=B437)*(Брони!$D$2:$D$500=N437)*(((Брони!$F$2:$F$500="Выдана")+(Брони!$F$2:$F$500="Возвращена"))))</f>
        <v/>
      </c>
      <c r="Q437" s="10" t="n"/>
    </row>
    <row r="438">
      <c r="A438" s="11" t="n"/>
      <c r="B438" s="10" t="n"/>
      <c r="C438" s="10" t="n"/>
      <c r="D438" s="14" t="n"/>
      <c r="E438" s="10" t="n"/>
      <c r="F438" s="20">
        <f>IF(OR(A438="",B438=""),"",IF(OR(NOT(ISNUMBER(A438)),ISERROR(N438+O438+P438)),"Проверьте даты",IF(AND(N438&gt;0,P438&gt;1),"Дубль",IF(AND(N438&gt;0,O438&gt;0),O438,"Вне аренды"))))</f>
        <v/>
      </c>
      <c r="G438" s="12">
        <f>IF(ISNUMBER(F438),IFERROR(INDEX(Брони!$C$2:$C$500,MATCH(F438,Брони!$A$2:$A$500,0)),""),"")</f>
        <v/>
      </c>
      <c r="H438" s="10" t="n"/>
      <c r="I438" s="18" t="n"/>
      <c r="J438" s="12">
        <f>IF(AND(ISNUMBER(F438),I438&lt;&gt;""),IFERROR(IF(AND(INDEX(Брони!$F$2:$F$500,MATCH(F438,Брони!$A$2:$A$500,0))="Возвращена",I438&gt;INDEX(Брони!$E$2:$E$500,MATCH(F438,Брони!$A$2:$A$500,0))),"Да",""),""),"")</f>
        <v/>
      </c>
      <c r="K438" s="10" t="n"/>
      <c r="L438" s="14" t="n"/>
      <c r="M438" s="15">
        <f>IF(OR(A438="",B438=""),"",IF(AND(ISNUMBER(F438),H438&lt;&gt;"Компания"),D438+L438,0))</f>
        <v/>
      </c>
      <c r="N438" s="21">
        <f>SUMPRODUCT(MAX((Брони!$B$2:$B$500=B438)*((Брони!$F$2:$F$500="Выдана")+(Брони!$F$2:$F$500="Возвращена"))*(Брони!$D$2:$D$500&lt;=A438)*Брони!$D$2:$D$500))</f>
        <v/>
      </c>
      <c r="O438" s="19">
        <f>SUMPRODUCT((Брони!$B$2:$B$500=B438)*(Брони!$D$2:$D$500=N438)*((((Брони!$F$2:$F$500="Выдана")*NOW())+((Брони!$F$2:$F$500="Возвращена")*Брони!$E$2:$E$500))&gt;=A438)*Брони!$A$2:$A$500)</f>
        <v/>
      </c>
      <c r="P438" s="19">
        <f>SUMPRODUCT((Брони!$B$2:$B$500=B438)*(Брони!$D$2:$D$500=N438)*(((Брони!$F$2:$F$500="Выдана")+(Брони!$F$2:$F$500="Возвращена"))))</f>
        <v/>
      </c>
      <c r="Q438" s="10" t="n"/>
    </row>
    <row r="439">
      <c r="A439" s="11" t="n"/>
      <c r="B439" s="10" t="n"/>
      <c r="C439" s="10" t="n"/>
      <c r="D439" s="14" t="n"/>
      <c r="E439" s="10" t="n"/>
      <c r="F439" s="20">
        <f>IF(OR(A439="",B439=""),"",IF(OR(NOT(ISNUMBER(A439)),ISERROR(N439+O439+P439)),"Проверьте даты",IF(AND(N439&gt;0,P439&gt;1),"Дубль",IF(AND(N439&gt;0,O439&gt;0),O439,"Вне аренды"))))</f>
        <v/>
      </c>
      <c r="G439" s="12">
        <f>IF(ISNUMBER(F439),IFERROR(INDEX(Брони!$C$2:$C$500,MATCH(F439,Брони!$A$2:$A$500,0)),""),"")</f>
        <v/>
      </c>
      <c r="H439" s="10" t="n"/>
      <c r="I439" s="18" t="n"/>
      <c r="J439" s="12">
        <f>IF(AND(ISNUMBER(F439),I439&lt;&gt;""),IFERROR(IF(AND(INDEX(Брони!$F$2:$F$500,MATCH(F439,Брони!$A$2:$A$500,0))="Возвращена",I439&gt;INDEX(Брони!$E$2:$E$500,MATCH(F439,Брони!$A$2:$A$500,0))),"Да",""),""),"")</f>
        <v/>
      </c>
      <c r="K439" s="10" t="n"/>
      <c r="L439" s="14" t="n"/>
      <c r="M439" s="15">
        <f>IF(OR(A439="",B439=""),"",IF(AND(ISNUMBER(F439),H439&lt;&gt;"Компания"),D439+L439,0))</f>
        <v/>
      </c>
      <c r="N439" s="21">
        <f>SUMPRODUCT(MAX((Брони!$B$2:$B$500=B439)*((Брони!$F$2:$F$500="Выдана")+(Брони!$F$2:$F$500="Возвращена"))*(Брони!$D$2:$D$500&lt;=A439)*Брони!$D$2:$D$500))</f>
        <v/>
      </c>
      <c r="O439" s="19">
        <f>SUMPRODUCT((Брони!$B$2:$B$500=B439)*(Брони!$D$2:$D$500=N439)*((((Брони!$F$2:$F$500="Выдана")*NOW())+((Брони!$F$2:$F$500="Возвращена")*Брони!$E$2:$E$500))&gt;=A439)*Брони!$A$2:$A$500)</f>
        <v/>
      </c>
      <c r="P439" s="19">
        <f>SUMPRODUCT((Брони!$B$2:$B$500=B439)*(Брони!$D$2:$D$500=N439)*(((Брони!$F$2:$F$500="Выдана")+(Брони!$F$2:$F$500="Возвращена"))))</f>
        <v/>
      </c>
      <c r="Q439" s="10" t="n"/>
    </row>
    <row r="440">
      <c r="A440" s="11" t="n"/>
      <c r="B440" s="10" t="n"/>
      <c r="C440" s="10" t="n"/>
      <c r="D440" s="14" t="n"/>
      <c r="E440" s="10" t="n"/>
      <c r="F440" s="20">
        <f>IF(OR(A440="",B440=""),"",IF(OR(NOT(ISNUMBER(A440)),ISERROR(N440+O440+P440)),"Проверьте даты",IF(AND(N440&gt;0,P440&gt;1),"Дубль",IF(AND(N440&gt;0,O440&gt;0),O440,"Вне аренды"))))</f>
        <v/>
      </c>
      <c r="G440" s="12">
        <f>IF(ISNUMBER(F440),IFERROR(INDEX(Брони!$C$2:$C$500,MATCH(F440,Брони!$A$2:$A$500,0)),""),"")</f>
        <v/>
      </c>
      <c r="H440" s="10" t="n"/>
      <c r="I440" s="18" t="n"/>
      <c r="J440" s="12">
        <f>IF(AND(ISNUMBER(F440),I440&lt;&gt;""),IFERROR(IF(AND(INDEX(Брони!$F$2:$F$500,MATCH(F440,Брони!$A$2:$A$500,0))="Возвращена",I440&gt;INDEX(Брони!$E$2:$E$500,MATCH(F440,Брони!$A$2:$A$500,0))),"Да",""),""),"")</f>
        <v/>
      </c>
      <c r="K440" s="10" t="n"/>
      <c r="L440" s="14" t="n"/>
      <c r="M440" s="15">
        <f>IF(OR(A440="",B440=""),"",IF(AND(ISNUMBER(F440),H440&lt;&gt;"Компания"),D440+L440,0))</f>
        <v/>
      </c>
      <c r="N440" s="21">
        <f>SUMPRODUCT(MAX((Брони!$B$2:$B$500=B440)*((Брони!$F$2:$F$500="Выдана")+(Брони!$F$2:$F$500="Возвращена"))*(Брони!$D$2:$D$500&lt;=A440)*Брони!$D$2:$D$500))</f>
        <v/>
      </c>
      <c r="O440" s="19">
        <f>SUMPRODUCT((Брони!$B$2:$B$500=B440)*(Брони!$D$2:$D$500=N440)*((((Брони!$F$2:$F$500="Выдана")*NOW())+((Брони!$F$2:$F$500="Возвращена")*Брони!$E$2:$E$500))&gt;=A440)*Брони!$A$2:$A$500)</f>
        <v/>
      </c>
      <c r="P440" s="19">
        <f>SUMPRODUCT((Брони!$B$2:$B$500=B440)*(Брони!$D$2:$D$500=N440)*(((Брони!$F$2:$F$500="Выдана")+(Брони!$F$2:$F$500="Возвращена"))))</f>
        <v/>
      </c>
      <c r="Q440" s="10" t="n"/>
    </row>
    <row r="441">
      <c r="A441" s="11" t="n"/>
      <c r="B441" s="10" t="n"/>
      <c r="C441" s="10" t="n"/>
      <c r="D441" s="14" t="n"/>
      <c r="E441" s="10" t="n"/>
      <c r="F441" s="20">
        <f>IF(OR(A441="",B441=""),"",IF(OR(NOT(ISNUMBER(A441)),ISERROR(N441+O441+P441)),"Проверьте даты",IF(AND(N441&gt;0,P441&gt;1),"Дубль",IF(AND(N441&gt;0,O441&gt;0),O441,"Вне аренды"))))</f>
        <v/>
      </c>
      <c r="G441" s="12">
        <f>IF(ISNUMBER(F441),IFERROR(INDEX(Брони!$C$2:$C$500,MATCH(F441,Брони!$A$2:$A$500,0)),""),"")</f>
        <v/>
      </c>
      <c r="H441" s="10" t="n"/>
      <c r="I441" s="18" t="n"/>
      <c r="J441" s="12">
        <f>IF(AND(ISNUMBER(F441),I441&lt;&gt;""),IFERROR(IF(AND(INDEX(Брони!$F$2:$F$500,MATCH(F441,Брони!$A$2:$A$500,0))="Возвращена",I441&gt;INDEX(Брони!$E$2:$E$500,MATCH(F441,Брони!$A$2:$A$500,0))),"Да",""),""),"")</f>
        <v/>
      </c>
      <c r="K441" s="10" t="n"/>
      <c r="L441" s="14" t="n"/>
      <c r="M441" s="15">
        <f>IF(OR(A441="",B441=""),"",IF(AND(ISNUMBER(F441),H441&lt;&gt;"Компания"),D441+L441,0))</f>
        <v/>
      </c>
      <c r="N441" s="21">
        <f>SUMPRODUCT(MAX((Брони!$B$2:$B$500=B441)*((Брони!$F$2:$F$500="Выдана")+(Брони!$F$2:$F$500="Возвращена"))*(Брони!$D$2:$D$500&lt;=A441)*Брони!$D$2:$D$500))</f>
        <v/>
      </c>
      <c r="O441" s="19">
        <f>SUMPRODUCT((Брони!$B$2:$B$500=B441)*(Брони!$D$2:$D$500=N441)*((((Брони!$F$2:$F$500="Выдана")*NOW())+((Брони!$F$2:$F$500="Возвращена")*Брони!$E$2:$E$500))&gt;=A441)*Брони!$A$2:$A$500)</f>
        <v/>
      </c>
      <c r="P441" s="19">
        <f>SUMPRODUCT((Брони!$B$2:$B$500=B441)*(Брони!$D$2:$D$500=N441)*(((Брони!$F$2:$F$500="Выдана")+(Брони!$F$2:$F$500="Возвращена"))))</f>
        <v/>
      </c>
      <c r="Q441" s="10" t="n"/>
    </row>
    <row r="442">
      <c r="A442" s="11" t="n"/>
      <c r="B442" s="10" t="n"/>
      <c r="C442" s="10" t="n"/>
      <c r="D442" s="14" t="n"/>
      <c r="E442" s="10" t="n"/>
      <c r="F442" s="20">
        <f>IF(OR(A442="",B442=""),"",IF(OR(NOT(ISNUMBER(A442)),ISERROR(N442+O442+P442)),"Проверьте даты",IF(AND(N442&gt;0,P442&gt;1),"Дубль",IF(AND(N442&gt;0,O442&gt;0),O442,"Вне аренды"))))</f>
        <v/>
      </c>
      <c r="G442" s="12">
        <f>IF(ISNUMBER(F442),IFERROR(INDEX(Брони!$C$2:$C$500,MATCH(F442,Брони!$A$2:$A$500,0)),""),"")</f>
        <v/>
      </c>
      <c r="H442" s="10" t="n"/>
      <c r="I442" s="18" t="n"/>
      <c r="J442" s="12">
        <f>IF(AND(ISNUMBER(F442),I442&lt;&gt;""),IFERROR(IF(AND(INDEX(Брони!$F$2:$F$500,MATCH(F442,Брони!$A$2:$A$500,0))="Возвращена",I442&gt;INDEX(Брони!$E$2:$E$500,MATCH(F442,Брони!$A$2:$A$500,0))),"Да",""),""),"")</f>
        <v/>
      </c>
      <c r="K442" s="10" t="n"/>
      <c r="L442" s="14" t="n"/>
      <c r="M442" s="15">
        <f>IF(OR(A442="",B442=""),"",IF(AND(ISNUMBER(F442),H442&lt;&gt;"Компания"),D442+L442,0))</f>
        <v/>
      </c>
      <c r="N442" s="21">
        <f>SUMPRODUCT(MAX((Брони!$B$2:$B$500=B442)*((Брони!$F$2:$F$500="Выдана")+(Брони!$F$2:$F$500="Возвращена"))*(Брони!$D$2:$D$500&lt;=A442)*Брони!$D$2:$D$500))</f>
        <v/>
      </c>
      <c r="O442" s="19">
        <f>SUMPRODUCT((Брони!$B$2:$B$500=B442)*(Брони!$D$2:$D$500=N442)*((((Брони!$F$2:$F$500="Выдана")*NOW())+((Брони!$F$2:$F$500="Возвращена")*Брони!$E$2:$E$500))&gt;=A442)*Брони!$A$2:$A$500)</f>
        <v/>
      </c>
      <c r="P442" s="19">
        <f>SUMPRODUCT((Брони!$B$2:$B$500=B442)*(Брони!$D$2:$D$500=N442)*(((Брони!$F$2:$F$500="Выдана")+(Брони!$F$2:$F$500="Возвращена"))))</f>
        <v/>
      </c>
      <c r="Q442" s="10" t="n"/>
    </row>
    <row r="443">
      <c r="A443" s="11" t="n"/>
      <c r="B443" s="10" t="n"/>
      <c r="C443" s="10" t="n"/>
      <c r="D443" s="14" t="n"/>
      <c r="E443" s="10" t="n"/>
      <c r="F443" s="20">
        <f>IF(OR(A443="",B443=""),"",IF(OR(NOT(ISNUMBER(A443)),ISERROR(N443+O443+P443)),"Проверьте даты",IF(AND(N443&gt;0,P443&gt;1),"Дубль",IF(AND(N443&gt;0,O443&gt;0),O443,"Вне аренды"))))</f>
        <v/>
      </c>
      <c r="G443" s="12">
        <f>IF(ISNUMBER(F443),IFERROR(INDEX(Брони!$C$2:$C$500,MATCH(F443,Брони!$A$2:$A$500,0)),""),"")</f>
        <v/>
      </c>
      <c r="H443" s="10" t="n"/>
      <c r="I443" s="18" t="n"/>
      <c r="J443" s="12">
        <f>IF(AND(ISNUMBER(F443),I443&lt;&gt;""),IFERROR(IF(AND(INDEX(Брони!$F$2:$F$500,MATCH(F443,Брони!$A$2:$A$500,0))="Возвращена",I443&gt;INDEX(Брони!$E$2:$E$500,MATCH(F443,Брони!$A$2:$A$500,0))),"Да",""),""),"")</f>
        <v/>
      </c>
      <c r="K443" s="10" t="n"/>
      <c r="L443" s="14" t="n"/>
      <c r="M443" s="15">
        <f>IF(OR(A443="",B443=""),"",IF(AND(ISNUMBER(F443),H443&lt;&gt;"Компания"),D443+L443,0))</f>
        <v/>
      </c>
      <c r="N443" s="21">
        <f>SUMPRODUCT(MAX((Брони!$B$2:$B$500=B443)*((Брони!$F$2:$F$500="Выдана")+(Брони!$F$2:$F$500="Возвращена"))*(Брони!$D$2:$D$500&lt;=A443)*Брони!$D$2:$D$500))</f>
        <v/>
      </c>
      <c r="O443" s="19">
        <f>SUMPRODUCT((Брони!$B$2:$B$500=B443)*(Брони!$D$2:$D$500=N443)*((((Брони!$F$2:$F$500="Выдана")*NOW())+((Брони!$F$2:$F$500="Возвращена")*Брони!$E$2:$E$500))&gt;=A443)*Брони!$A$2:$A$500)</f>
        <v/>
      </c>
      <c r="P443" s="19">
        <f>SUMPRODUCT((Брони!$B$2:$B$500=B443)*(Брони!$D$2:$D$500=N443)*(((Брони!$F$2:$F$500="Выдана")+(Брони!$F$2:$F$500="Возвращена"))))</f>
        <v/>
      </c>
      <c r="Q443" s="10" t="n"/>
    </row>
    <row r="444">
      <c r="A444" s="11" t="n"/>
      <c r="B444" s="10" t="n"/>
      <c r="C444" s="10" t="n"/>
      <c r="D444" s="14" t="n"/>
      <c r="E444" s="10" t="n"/>
      <c r="F444" s="20">
        <f>IF(OR(A444="",B444=""),"",IF(OR(NOT(ISNUMBER(A444)),ISERROR(N444+O444+P444)),"Проверьте даты",IF(AND(N444&gt;0,P444&gt;1),"Дубль",IF(AND(N444&gt;0,O444&gt;0),O444,"Вне аренды"))))</f>
        <v/>
      </c>
      <c r="G444" s="12">
        <f>IF(ISNUMBER(F444),IFERROR(INDEX(Брони!$C$2:$C$500,MATCH(F444,Брони!$A$2:$A$500,0)),""),"")</f>
        <v/>
      </c>
      <c r="H444" s="10" t="n"/>
      <c r="I444" s="18" t="n"/>
      <c r="J444" s="12">
        <f>IF(AND(ISNUMBER(F444),I444&lt;&gt;""),IFERROR(IF(AND(INDEX(Брони!$F$2:$F$500,MATCH(F444,Брони!$A$2:$A$500,0))="Возвращена",I444&gt;INDEX(Брони!$E$2:$E$500,MATCH(F444,Брони!$A$2:$A$500,0))),"Да",""),""),"")</f>
        <v/>
      </c>
      <c r="K444" s="10" t="n"/>
      <c r="L444" s="14" t="n"/>
      <c r="M444" s="15">
        <f>IF(OR(A444="",B444=""),"",IF(AND(ISNUMBER(F444),H444&lt;&gt;"Компания"),D444+L444,0))</f>
        <v/>
      </c>
      <c r="N444" s="21">
        <f>SUMPRODUCT(MAX((Брони!$B$2:$B$500=B444)*((Брони!$F$2:$F$500="Выдана")+(Брони!$F$2:$F$500="Возвращена"))*(Брони!$D$2:$D$500&lt;=A444)*Брони!$D$2:$D$500))</f>
        <v/>
      </c>
      <c r="O444" s="19">
        <f>SUMPRODUCT((Брони!$B$2:$B$500=B444)*(Брони!$D$2:$D$500=N444)*((((Брони!$F$2:$F$500="Выдана")*NOW())+((Брони!$F$2:$F$500="Возвращена")*Брони!$E$2:$E$500))&gt;=A444)*Брони!$A$2:$A$500)</f>
        <v/>
      </c>
      <c r="P444" s="19">
        <f>SUMPRODUCT((Брони!$B$2:$B$500=B444)*(Брони!$D$2:$D$500=N444)*(((Брони!$F$2:$F$500="Выдана")+(Брони!$F$2:$F$500="Возвращена"))))</f>
        <v/>
      </c>
      <c r="Q444" s="10" t="n"/>
    </row>
    <row r="445">
      <c r="A445" s="11" t="n"/>
      <c r="B445" s="10" t="n"/>
      <c r="C445" s="10" t="n"/>
      <c r="D445" s="14" t="n"/>
      <c r="E445" s="10" t="n"/>
      <c r="F445" s="20">
        <f>IF(OR(A445="",B445=""),"",IF(OR(NOT(ISNUMBER(A445)),ISERROR(N445+O445+P445)),"Проверьте даты",IF(AND(N445&gt;0,P445&gt;1),"Дубль",IF(AND(N445&gt;0,O445&gt;0),O445,"Вне аренды"))))</f>
        <v/>
      </c>
      <c r="G445" s="12">
        <f>IF(ISNUMBER(F445),IFERROR(INDEX(Брони!$C$2:$C$500,MATCH(F445,Брони!$A$2:$A$500,0)),""),"")</f>
        <v/>
      </c>
      <c r="H445" s="10" t="n"/>
      <c r="I445" s="18" t="n"/>
      <c r="J445" s="12">
        <f>IF(AND(ISNUMBER(F445),I445&lt;&gt;""),IFERROR(IF(AND(INDEX(Брони!$F$2:$F$500,MATCH(F445,Брони!$A$2:$A$500,0))="Возвращена",I445&gt;INDEX(Брони!$E$2:$E$500,MATCH(F445,Брони!$A$2:$A$500,0))),"Да",""),""),"")</f>
        <v/>
      </c>
      <c r="K445" s="10" t="n"/>
      <c r="L445" s="14" t="n"/>
      <c r="M445" s="15">
        <f>IF(OR(A445="",B445=""),"",IF(AND(ISNUMBER(F445),H445&lt;&gt;"Компания"),D445+L445,0))</f>
        <v/>
      </c>
      <c r="N445" s="21">
        <f>SUMPRODUCT(MAX((Брони!$B$2:$B$500=B445)*((Брони!$F$2:$F$500="Выдана")+(Брони!$F$2:$F$500="Возвращена"))*(Брони!$D$2:$D$500&lt;=A445)*Брони!$D$2:$D$500))</f>
        <v/>
      </c>
      <c r="O445" s="19">
        <f>SUMPRODUCT((Брони!$B$2:$B$500=B445)*(Брони!$D$2:$D$500=N445)*((((Брони!$F$2:$F$500="Выдана")*NOW())+((Брони!$F$2:$F$500="Возвращена")*Брони!$E$2:$E$500))&gt;=A445)*Брони!$A$2:$A$500)</f>
        <v/>
      </c>
      <c r="P445" s="19">
        <f>SUMPRODUCT((Брони!$B$2:$B$500=B445)*(Брони!$D$2:$D$500=N445)*(((Брони!$F$2:$F$500="Выдана")+(Брони!$F$2:$F$500="Возвращена"))))</f>
        <v/>
      </c>
      <c r="Q445" s="10" t="n"/>
    </row>
    <row r="446">
      <c r="A446" s="11" t="n"/>
      <c r="B446" s="10" t="n"/>
      <c r="C446" s="10" t="n"/>
      <c r="D446" s="14" t="n"/>
      <c r="E446" s="10" t="n"/>
      <c r="F446" s="20">
        <f>IF(OR(A446="",B446=""),"",IF(OR(NOT(ISNUMBER(A446)),ISERROR(N446+O446+P446)),"Проверьте даты",IF(AND(N446&gt;0,P446&gt;1),"Дубль",IF(AND(N446&gt;0,O446&gt;0),O446,"Вне аренды"))))</f>
        <v/>
      </c>
      <c r="G446" s="12">
        <f>IF(ISNUMBER(F446),IFERROR(INDEX(Брони!$C$2:$C$500,MATCH(F446,Брони!$A$2:$A$500,0)),""),"")</f>
        <v/>
      </c>
      <c r="H446" s="10" t="n"/>
      <c r="I446" s="18" t="n"/>
      <c r="J446" s="12">
        <f>IF(AND(ISNUMBER(F446),I446&lt;&gt;""),IFERROR(IF(AND(INDEX(Брони!$F$2:$F$500,MATCH(F446,Брони!$A$2:$A$500,0))="Возвращена",I446&gt;INDEX(Брони!$E$2:$E$500,MATCH(F446,Брони!$A$2:$A$500,0))),"Да",""),""),"")</f>
        <v/>
      </c>
      <c r="K446" s="10" t="n"/>
      <c r="L446" s="14" t="n"/>
      <c r="M446" s="15">
        <f>IF(OR(A446="",B446=""),"",IF(AND(ISNUMBER(F446),H446&lt;&gt;"Компания"),D446+L446,0))</f>
        <v/>
      </c>
      <c r="N446" s="21">
        <f>SUMPRODUCT(MAX((Брони!$B$2:$B$500=B446)*((Брони!$F$2:$F$500="Выдана")+(Брони!$F$2:$F$500="Возвращена"))*(Брони!$D$2:$D$500&lt;=A446)*Брони!$D$2:$D$500))</f>
        <v/>
      </c>
      <c r="O446" s="19">
        <f>SUMPRODUCT((Брони!$B$2:$B$500=B446)*(Брони!$D$2:$D$500=N446)*((((Брони!$F$2:$F$500="Выдана")*NOW())+((Брони!$F$2:$F$500="Возвращена")*Брони!$E$2:$E$500))&gt;=A446)*Брони!$A$2:$A$500)</f>
        <v/>
      </c>
      <c r="P446" s="19">
        <f>SUMPRODUCT((Брони!$B$2:$B$500=B446)*(Брони!$D$2:$D$500=N446)*(((Брони!$F$2:$F$500="Выдана")+(Брони!$F$2:$F$500="Возвращена"))))</f>
        <v/>
      </c>
      <c r="Q446" s="10" t="n"/>
    </row>
    <row r="447">
      <c r="A447" s="11" t="n"/>
      <c r="B447" s="10" t="n"/>
      <c r="C447" s="10" t="n"/>
      <c r="D447" s="14" t="n"/>
      <c r="E447" s="10" t="n"/>
      <c r="F447" s="20">
        <f>IF(OR(A447="",B447=""),"",IF(OR(NOT(ISNUMBER(A447)),ISERROR(N447+O447+P447)),"Проверьте даты",IF(AND(N447&gt;0,P447&gt;1),"Дубль",IF(AND(N447&gt;0,O447&gt;0),O447,"Вне аренды"))))</f>
        <v/>
      </c>
      <c r="G447" s="12">
        <f>IF(ISNUMBER(F447),IFERROR(INDEX(Брони!$C$2:$C$500,MATCH(F447,Брони!$A$2:$A$500,0)),""),"")</f>
        <v/>
      </c>
      <c r="H447" s="10" t="n"/>
      <c r="I447" s="18" t="n"/>
      <c r="J447" s="12">
        <f>IF(AND(ISNUMBER(F447),I447&lt;&gt;""),IFERROR(IF(AND(INDEX(Брони!$F$2:$F$500,MATCH(F447,Брони!$A$2:$A$500,0))="Возвращена",I447&gt;INDEX(Брони!$E$2:$E$500,MATCH(F447,Брони!$A$2:$A$500,0))),"Да",""),""),"")</f>
        <v/>
      </c>
      <c r="K447" s="10" t="n"/>
      <c r="L447" s="14" t="n"/>
      <c r="M447" s="15">
        <f>IF(OR(A447="",B447=""),"",IF(AND(ISNUMBER(F447),H447&lt;&gt;"Компания"),D447+L447,0))</f>
        <v/>
      </c>
      <c r="N447" s="21">
        <f>SUMPRODUCT(MAX((Брони!$B$2:$B$500=B447)*((Брони!$F$2:$F$500="Выдана")+(Брони!$F$2:$F$500="Возвращена"))*(Брони!$D$2:$D$500&lt;=A447)*Брони!$D$2:$D$500))</f>
        <v/>
      </c>
      <c r="O447" s="19">
        <f>SUMPRODUCT((Брони!$B$2:$B$500=B447)*(Брони!$D$2:$D$500=N447)*((((Брони!$F$2:$F$500="Выдана")*NOW())+((Брони!$F$2:$F$500="Возвращена")*Брони!$E$2:$E$500))&gt;=A447)*Брони!$A$2:$A$500)</f>
        <v/>
      </c>
      <c r="P447" s="19">
        <f>SUMPRODUCT((Брони!$B$2:$B$500=B447)*(Брони!$D$2:$D$500=N447)*(((Брони!$F$2:$F$500="Выдана")+(Брони!$F$2:$F$500="Возвращена"))))</f>
        <v/>
      </c>
      <c r="Q447" s="10" t="n"/>
    </row>
    <row r="448">
      <c r="A448" s="11" t="n"/>
      <c r="B448" s="10" t="n"/>
      <c r="C448" s="10" t="n"/>
      <c r="D448" s="14" t="n"/>
      <c r="E448" s="10" t="n"/>
      <c r="F448" s="20">
        <f>IF(OR(A448="",B448=""),"",IF(OR(NOT(ISNUMBER(A448)),ISERROR(N448+O448+P448)),"Проверьте даты",IF(AND(N448&gt;0,P448&gt;1),"Дубль",IF(AND(N448&gt;0,O448&gt;0),O448,"Вне аренды"))))</f>
        <v/>
      </c>
      <c r="G448" s="12">
        <f>IF(ISNUMBER(F448),IFERROR(INDEX(Брони!$C$2:$C$500,MATCH(F448,Брони!$A$2:$A$500,0)),""),"")</f>
        <v/>
      </c>
      <c r="H448" s="10" t="n"/>
      <c r="I448" s="18" t="n"/>
      <c r="J448" s="12">
        <f>IF(AND(ISNUMBER(F448),I448&lt;&gt;""),IFERROR(IF(AND(INDEX(Брони!$F$2:$F$500,MATCH(F448,Брони!$A$2:$A$500,0))="Возвращена",I448&gt;INDEX(Брони!$E$2:$E$500,MATCH(F448,Брони!$A$2:$A$500,0))),"Да",""),""),"")</f>
        <v/>
      </c>
      <c r="K448" s="10" t="n"/>
      <c r="L448" s="14" t="n"/>
      <c r="M448" s="15">
        <f>IF(OR(A448="",B448=""),"",IF(AND(ISNUMBER(F448),H448&lt;&gt;"Компания"),D448+L448,0))</f>
        <v/>
      </c>
      <c r="N448" s="21">
        <f>SUMPRODUCT(MAX((Брони!$B$2:$B$500=B448)*((Брони!$F$2:$F$500="Выдана")+(Брони!$F$2:$F$500="Возвращена"))*(Брони!$D$2:$D$500&lt;=A448)*Брони!$D$2:$D$500))</f>
        <v/>
      </c>
      <c r="O448" s="19">
        <f>SUMPRODUCT((Брони!$B$2:$B$500=B448)*(Брони!$D$2:$D$500=N448)*((((Брони!$F$2:$F$500="Выдана")*NOW())+((Брони!$F$2:$F$500="Возвращена")*Брони!$E$2:$E$500))&gt;=A448)*Брони!$A$2:$A$500)</f>
        <v/>
      </c>
      <c r="P448" s="19">
        <f>SUMPRODUCT((Брони!$B$2:$B$500=B448)*(Брони!$D$2:$D$500=N448)*(((Брони!$F$2:$F$500="Выдана")+(Брони!$F$2:$F$500="Возвращена"))))</f>
        <v/>
      </c>
      <c r="Q448" s="10" t="n"/>
    </row>
    <row r="449">
      <c r="A449" s="11" t="n"/>
      <c r="B449" s="10" t="n"/>
      <c r="C449" s="10" t="n"/>
      <c r="D449" s="14" t="n"/>
      <c r="E449" s="10" t="n"/>
      <c r="F449" s="20">
        <f>IF(OR(A449="",B449=""),"",IF(OR(NOT(ISNUMBER(A449)),ISERROR(N449+O449+P449)),"Проверьте даты",IF(AND(N449&gt;0,P449&gt;1),"Дубль",IF(AND(N449&gt;0,O449&gt;0),O449,"Вне аренды"))))</f>
        <v/>
      </c>
      <c r="G449" s="12">
        <f>IF(ISNUMBER(F449),IFERROR(INDEX(Брони!$C$2:$C$500,MATCH(F449,Брони!$A$2:$A$500,0)),""),"")</f>
        <v/>
      </c>
      <c r="H449" s="10" t="n"/>
      <c r="I449" s="18" t="n"/>
      <c r="J449" s="12">
        <f>IF(AND(ISNUMBER(F449),I449&lt;&gt;""),IFERROR(IF(AND(INDEX(Брони!$F$2:$F$500,MATCH(F449,Брони!$A$2:$A$500,0))="Возвращена",I449&gt;INDEX(Брони!$E$2:$E$500,MATCH(F449,Брони!$A$2:$A$500,0))),"Да",""),""),"")</f>
        <v/>
      </c>
      <c r="K449" s="10" t="n"/>
      <c r="L449" s="14" t="n"/>
      <c r="M449" s="15">
        <f>IF(OR(A449="",B449=""),"",IF(AND(ISNUMBER(F449),H449&lt;&gt;"Компания"),D449+L449,0))</f>
        <v/>
      </c>
      <c r="N449" s="21">
        <f>SUMPRODUCT(MAX((Брони!$B$2:$B$500=B449)*((Брони!$F$2:$F$500="Выдана")+(Брони!$F$2:$F$500="Возвращена"))*(Брони!$D$2:$D$500&lt;=A449)*Брони!$D$2:$D$500))</f>
        <v/>
      </c>
      <c r="O449" s="19">
        <f>SUMPRODUCT((Брони!$B$2:$B$500=B449)*(Брони!$D$2:$D$500=N449)*((((Брони!$F$2:$F$500="Выдана")*NOW())+((Брони!$F$2:$F$500="Возвращена")*Брони!$E$2:$E$500))&gt;=A449)*Брони!$A$2:$A$500)</f>
        <v/>
      </c>
      <c r="P449" s="19">
        <f>SUMPRODUCT((Брони!$B$2:$B$500=B449)*(Брони!$D$2:$D$500=N449)*(((Брони!$F$2:$F$500="Выдана")+(Брони!$F$2:$F$500="Возвращена"))))</f>
        <v/>
      </c>
      <c r="Q449" s="10" t="n"/>
    </row>
    <row r="450">
      <c r="A450" s="11" t="n"/>
      <c r="B450" s="10" t="n"/>
      <c r="C450" s="10" t="n"/>
      <c r="D450" s="14" t="n"/>
      <c r="E450" s="10" t="n"/>
      <c r="F450" s="20">
        <f>IF(OR(A450="",B450=""),"",IF(OR(NOT(ISNUMBER(A450)),ISERROR(N450+O450+P450)),"Проверьте даты",IF(AND(N450&gt;0,P450&gt;1),"Дубль",IF(AND(N450&gt;0,O450&gt;0),O450,"Вне аренды"))))</f>
        <v/>
      </c>
      <c r="G450" s="12">
        <f>IF(ISNUMBER(F450),IFERROR(INDEX(Брони!$C$2:$C$500,MATCH(F450,Брони!$A$2:$A$500,0)),""),"")</f>
        <v/>
      </c>
      <c r="H450" s="10" t="n"/>
      <c r="I450" s="18" t="n"/>
      <c r="J450" s="12">
        <f>IF(AND(ISNUMBER(F450),I450&lt;&gt;""),IFERROR(IF(AND(INDEX(Брони!$F$2:$F$500,MATCH(F450,Брони!$A$2:$A$500,0))="Возвращена",I450&gt;INDEX(Брони!$E$2:$E$500,MATCH(F450,Брони!$A$2:$A$500,0))),"Да",""),""),"")</f>
        <v/>
      </c>
      <c r="K450" s="10" t="n"/>
      <c r="L450" s="14" t="n"/>
      <c r="M450" s="15">
        <f>IF(OR(A450="",B450=""),"",IF(AND(ISNUMBER(F450),H450&lt;&gt;"Компания"),D450+L450,0))</f>
        <v/>
      </c>
      <c r="N450" s="21">
        <f>SUMPRODUCT(MAX((Брони!$B$2:$B$500=B450)*((Брони!$F$2:$F$500="Выдана")+(Брони!$F$2:$F$500="Возвращена"))*(Брони!$D$2:$D$500&lt;=A450)*Брони!$D$2:$D$500))</f>
        <v/>
      </c>
      <c r="O450" s="19">
        <f>SUMPRODUCT((Брони!$B$2:$B$500=B450)*(Брони!$D$2:$D$500=N450)*((((Брони!$F$2:$F$500="Выдана")*NOW())+((Брони!$F$2:$F$500="Возвращена")*Брони!$E$2:$E$500))&gt;=A450)*Брони!$A$2:$A$500)</f>
        <v/>
      </c>
      <c r="P450" s="19">
        <f>SUMPRODUCT((Брони!$B$2:$B$500=B450)*(Брони!$D$2:$D$500=N450)*(((Брони!$F$2:$F$500="Выдана")+(Брони!$F$2:$F$500="Возвращена"))))</f>
        <v/>
      </c>
      <c r="Q450" s="10" t="n"/>
    </row>
    <row r="451">
      <c r="A451" s="11" t="n"/>
      <c r="B451" s="10" t="n"/>
      <c r="C451" s="10" t="n"/>
      <c r="D451" s="14" t="n"/>
      <c r="E451" s="10" t="n"/>
      <c r="F451" s="20">
        <f>IF(OR(A451="",B451=""),"",IF(OR(NOT(ISNUMBER(A451)),ISERROR(N451+O451+P451)),"Проверьте даты",IF(AND(N451&gt;0,P451&gt;1),"Дубль",IF(AND(N451&gt;0,O451&gt;0),O451,"Вне аренды"))))</f>
        <v/>
      </c>
      <c r="G451" s="12">
        <f>IF(ISNUMBER(F451),IFERROR(INDEX(Брони!$C$2:$C$500,MATCH(F451,Брони!$A$2:$A$500,0)),""),"")</f>
        <v/>
      </c>
      <c r="H451" s="10" t="n"/>
      <c r="I451" s="18" t="n"/>
      <c r="J451" s="12">
        <f>IF(AND(ISNUMBER(F451),I451&lt;&gt;""),IFERROR(IF(AND(INDEX(Брони!$F$2:$F$500,MATCH(F451,Брони!$A$2:$A$500,0))="Возвращена",I451&gt;INDEX(Брони!$E$2:$E$500,MATCH(F451,Брони!$A$2:$A$500,0))),"Да",""),""),"")</f>
        <v/>
      </c>
      <c r="K451" s="10" t="n"/>
      <c r="L451" s="14" t="n"/>
      <c r="M451" s="15">
        <f>IF(OR(A451="",B451=""),"",IF(AND(ISNUMBER(F451),H451&lt;&gt;"Компания"),D451+L451,0))</f>
        <v/>
      </c>
      <c r="N451" s="21">
        <f>SUMPRODUCT(MAX((Брони!$B$2:$B$500=B451)*((Брони!$F$2:$F$500="Выдана")+(Брони!$F$2:$F$500="Возвращена"))*(Брони!$D$2:$D$500&lt;=A451)*Брони!$D$2:$D$500))</f>
        <v/>
      </c>
      <c r="O451" s="19">
        <f>SUMPRODUCT((Брони!$B$2:$B$500=B451)*(Брони!$D$2:$D$500=N451)*((((Брони!$F$2:$F$500="Выдана")*NOW())+((Брони!$F$2:$F$500="Возвращена")*Брони!$E$2:$E$500))&gt;=A451)*Брони!$A$2:$A$500)</f>
        <v/>
      </c>
      <c r="P451" s="19">
        <f>SUMPRODUCT((Брони!$B$2:$B$500=B451)*(Брони!$D$2:$D$500=N451)*(((Брони!$F$2:$F$500="Выдана")+(Брони!$F$2:$F$500="Возвращена"))))</f>
        <v/>
      </c>
      <c r="Q451" s="10" t="n"/>
    </row>
    <row r="452">
      <c r="A452" s="11" t="n"/>
      <c r="B452" s="10" t="n"/>
      <c r="C452" s="10" t="n"/>
      <c r="D452" s="14" t="n"/>
      <c r="E452" s="10" t="n"/>
      <c r="F452" s="20">
        <f>IF(OR(A452="",B452=""),"",IF(OR(NOT(ISNUMBER(A452)),ISERROR(N452+O452+P452)),"Проверьте даты",IF(AND(N452&gt;0,P452&gt;1),"Дубль",IF(AND(N452&gt;0,O452&gt;0),O452,"Вне аренды"))))</f>
        <v/>
      </c>
      <c r="G452" s="12">
        <f>IF(ISNUMBER(F452),IFERROR(INDEX(Брони!$C$2:$C$500,MATCH(F452,Брони!$A$2:$A$500,0)),""),"")</f>
        <v/>
      </c>
      <c r="H452" s="10" t="n"/>
      <c r="I452" s="18" t="n"/>
      <c r="J452" s="12">
        <f>IF(AND(ISNUMBER(F452),I452&lt;&gt;""),IFERROR(IF(AND(INDEX(Брони!$F$2:$F$500,MATCH(F452,Брони!$A$2:$A$500,0))="Возвращена",I452&gt;INDEX(Брони!$E$2:$E$500,MATCH(F452,Брони!$A$2:$A$500,0))),"Да",""),""),"")</f>
        <v/>
      </c>
      <c r="K452" s="10" t="n"/>
      <c r="L452" s="14" t="n"/>
      <c r="M452" s="15">
        <f>IF(OR(A452="",B452=""),"",IF(AND(ISNUMBER(F452),H452&lt;&gt;"Компания"),D452+L452,0))</f>
        <v/>
      </c>
      <c r="N452" s="21">
        <f>SUMPRODUCT(MAX((Брони!$B$2:$B$500=B452)*((Брони!$F$2:$F$500="Выдана")+(Брони!$F$2:$F$500="Возвращена"))*(Брони!$D$2:$D$500&lt;=A452)*Брони!$D$2:$D$500))</f>
        <v/>
      </c>
      <c r="O452" s="19">
        <f>SUMPRODUCT((Брони!$B$2:$B$500=B452)*(Брони!$D$2:$D$500=N452)*((((Брони!$F$2:$F$500="Выдана")*NOW())+((Брони!$F$2:$F$500="Возвращена")*Брони!$E$2:$E$500))&gt;=A452)*Брони!$A$2:$A$500)</f>
        <v/>
      </c>
      <c r="P452" s="19">
        <f>SUMPRODUCT((Брони!$B$2:$B$500=B452)*(Брони!$D$2:$D$500=N452)*(((Брони!$F$2:$F$500="Выдана")+(Брони!$F$2:$F$500="Возвращена"))))</f>
        <v/>
      </c>
      <c r="Q452" s="10" t="n"/>
    </row>
    <row r="453">
      <c r="A453" s="11" t="n"/>
      <c r="B453" s="10" t="n"/>
      <c r="C453" s="10" t="n"/>
      <c r="D453" s="14" t="n"/>
      <c r="E453" s="10" t="n"/>
      <c r="F453" s="20">
        <f>IF(OR(A453="",B453=""),"",IF(OR(NOT(ISNUMBER(A453)),ISERROR(N453+O453+P453)),"Проверьте даты",IF(AND(N453&gt;0,P453&gt;1),"Дубль",IF(AND(N453&gt;0,O453&gt;0),O453,"Вне аренды"))))</f>
        <v/>
      </c>
      <c r="G453" s="12">
        <f>IF(ISNUMBER(F453),IFERROR(INDEX(Брони!$C$2:$C$500,MATCH(F453,Брони!$A$2:$A$500,0)),""),"")</f>
        <v/>
      </c>
      <c r="H453" s="10" t="n"/>
      <c r="I453" s="18" t="n"/>
      <c r="J453" s="12">
        <f>IF(AND(ISNUMBER(F453),I453&lt;&gt;""),IFERROR(IF(AND(INDEX(Брони!$F$2:$F$500,MATCH(F453,Брони!$A$2:$A$500,0))="Возвращена",I453&gt;INDEX(Брони!$E$2:$E$500,MATCH(F453,Брони!$A$2:$A$500,0))),"Да",""),""),"")</f>
        <v/>
      </c>
      <c r="K453" s="10" t="n"/>
      <c r="L453" s="14" t="n"/>
      <c r="M453" s="15">
        <f>IF(OR(A453="",B453=""),"",IF(AND(ISNUMBER(F453),H453&lt;&gt;"Компания"),D453+L453,0))</f>
        <v/>
      </c>
      <c r="N453" s="21">
        <f>SUMPRODUCT(MAX((Брони!$B$2:$B$500=B453)*((Брони!$F$2:$F$500="Выдана")+(Брони!$F$2:$F$500="Возвращена"))*(Брони!$D$2:$D$500&lt;=A453)*Брони!$D$2:$D$500))</f>
        <v/>
      </c>
      <c r="O453" s="19">
        <f>SUMPRODUCT((Брони!$B$2:$B$500=B453)*(Брони!$D$2:$D$500=N453)*((((Брони!$F$2:$F$500="Выдана")*NOW())+((Брони!$F$2:$F$500="Возвращена")*Брони!$E$2:$E$500))&gt;=A453)*Брони!$A$2:$A$500)</f>
        <v/>
      </c>
      <c r="P453" s="19">
        <f>SUMPRODUCT((Брони!$B$2:$B$500=B453)*(Брони!$D$2:$D$500=N453)*(((Брони!$F$2:$F$500="Выдана")+(Брони!$F$2:$F$500="Возвращена"))))</f>
        <v/>
      </c>
      <c r="Q453" s="10" t="n"/>
    </row>
    <row r="454">
      <c r="A454" s="11" t="n"/>
      <c r="B454" s="10" t="n"/>
      <c r="C454" s="10" t="n"/>
      <c r="D454" s="14" t="n"/>
      <c r="E454" s="10" t="n"/>
      <c r="F454" s="20">
        <f>IF(OR(A454="",B454=""),"",IF(OR(NOT(ISNUMBER(A454)),ISERROR(N454+O454+P454)),"Проверьте даты",IF(AND(N454&gt;0,P454&gt;1),"Дубль",IF(AND(N454&gt;0,O454&gt;0),O454,"Вне аренды"))))</f>
        <v/>
      </c>
      <c r="G454" s="12">
        <f>IF(ISNUMBER(F454),IFERROR(INDEX(Брони!$C$2:$C$500,MATCH(F454,Брони!$A$2:$A$500,0)),""),"")</f>
        <v/>
      </c>
      <c r="H454" s="10" t="n"/>
      <c r="I454" s="18" t="n"/>
      <c r="J454" s="12">
        <f>IF(AND(ISNUMBER(F454),I454&lt;&gt;""),IFERROR(IF(AND(INDEX(Брони!$F$2:$F$500,MATCH(F454,Брони!$A$2:$A$500,0))="Возвращена",I454&gt;INDEX(Брони!$E$2:$E$500,MATCH(F454,Брони!$A$2:$A$500,0))),"Да",""),""),"")</f>
        <v/>
      </c>
      <c r="K454" s="10" t="n"/>
      <c r="L454" s="14" t="n"/>
      <c r="M454" s="15">
        <f>IF(OR(A454="",B454=""),"",IF(AND(ISNUMBER(F454),H454&lt;&gt;"Компания"),D454+L454,0))</f>
        <v/>
      </c>
      <c r="N454" s="21">
        <f>SUMPRODUCT(MAX((Брони!$B$2:$B$500=B454)*((Брони!$F$2:$F$500="Выдана")+(Брони!$F$2:$F$500="Возвращена"))*(Брони!$D$2:$D$500&lt;=A454)*Брони!$D$2:$D$500))</f>
        <v/>
      </c>
      <c r="O454" s="19">
        <f>SUMPRODUCT((Брони!$B$2:$B$500=B454)*(Брони!$D$2:$D$500=N454)*((((Брони!$F$2:$F$500="Выдана")*NOW())+((Брони!$F$2:$F$500="Возвращена")*Брони!$E$2:$E$500))&gt;=A454)*Брони!$A$2:$A$500)</f>
        <v/>
      </c>
      <c r="P454" s="19">
        <f>SUMPRODUCT((Брони!$B$2:$B$500=B454)*(Брони!$D$2:$D$500=N454)*(((Брони!$F$2:$F$500="Выдана")+(Брони!$F$2:$F$500="Возвращена"))))</f>
        <v/>
      </c>
      <c r="Q454" s="10" t="n"/>
    </row>
    <row r="455">
      <c r="A455" s="11" t="n"/>
      <c r="B455" s="10" t="n"/>
      <c r="C455" s="10" t="n"/>
      <c r="D455" s="14" t="n"/>
      <c r="E455" s="10" t="n"/>
      <c r="F455" s="20">
        <f>IF(OR(A455="",B455=""),"",IF(OR(NOT(ISNUMBER(A455)),ISERROR(N455+O455+P455)),"Проверьте даты",IF(AND(N455&gt;0,P455&gt;1),"Дубль",IF(AND(N455&gt;0,O455&gt;0),O455,"Вне аренды"))))</f>
        <v/>
      </c>
      <c r="G455" s="12">
        <f>IF(ISNUMBER(F455),IFERROR(INDEX(Брони!$C$2:$C$500,MATCH(F455,Брони!$A$2:$A$500,0)),""),"")</f>
        <v/>
      </c>
      <c r="H455" s="10" t="n"/>
      <c r="I455" s="18" t="n"/>
      <c r="J455" s="12">
        <f>IF(AND(ISNUMBER(F455),I455&lt;&gt;""),IFERROR(IF(AND(INDEX(Брони!$F$2:$F$500,MATCH(F455,Брони!$A$2:$A$500,0))="Возвращена",I455&gt;INDEX(Брони!$E$2:$E$500,MATCH(F455,Брони!$A$2:$A$500,0))),"Да",""),""),"")</f>
        <v/>
      </c>
      <c r="K455" s="10" t="n"/>
      <c r="L455" s="14" t="n"/>
      <c r="M455" s="15">
        <f>IF(OR(A455="",B455=""),"",IF(AND(ISNUMBER(F455),H455&lt;&gt;"Компания"),D455+L455,0))</f>
        <v/>
      </c>
      <c r="N455" s="21">
        <f>SUMPRODUCT(MAX((Брони!$B$2:$B$500=B455)*((Брони!$F$2:$F$500="Выдана")+(Брони!$F$2:$F$500="Возвращена"))*(Брони!$D$2:$D$500&lt;=A455)*Брони!$D$2:$D$500))</f>
        <v/>
      </c>
      <c r="O455" s="19">
        <f>SUMPRODUCT((Брони!$B$2:$B$500=B455)*(Брони!$D$2:$D$500=N455)*((((Брони!$F$2:$F$500="Выдана")*NOW())+((Брони!$F$2:$F$500="Возвращена")*Брони!$E$2:$E$500))&gt;=A455)*Брони!$A$2:$A$500)</f>
        <v/>
      </c>
      <c r="P455" s="19">
        <f>SUMPRODUCT((Брони!$B$2:$B$500=B455)*(Брони!$D$2:$D$500=N455)*(((Брони!$F$2:$F$500="Выдана")+(Брони!$F$2:$F$500="Возвращена"))))</f>
        <v/>
      </c>
      <c r="Q455" s="10" t="n"/>
    </row>
    <row r="456">
      <c r="A456" s="11" t="n"/>
      <c r="B456" s="10" t="n"/>
      <c r="C456" s="10" t="n"/>
      <c r="D456" s="14" t="n"/>
      <c r="E456" s="10" t="n"/>
      <c r="F456" s="20">
        <f>IF(OR(A456="",B456=""),"",IF(OR(NOT(ISNUMBER(A456)),ISERROR(N456+O456+P456)),"Проверьте даты",IF(AND(N456&gt;0,P456&gt;1),"Дубль",IF(AND(N456&gt;0,O456&gt;0),O456,"Вне аренды"))))</f>
        <v/>
      </c>
      <c r="G456" s="12">
        <f>IF(ISNUMBER(F456),IFERROR(INDEX(Брони!$C$2:$C$500,MATCH(F456,Брони!$A$2:$A$500,0)),""),"")</f>
        <v/>
      </c>
      <c r="H456" s="10" t="n"/>
      <c r="I456" s="18" t="n"/>
      <c r="J456" s="12">
        <f>IF(AND(ISNUMBER(F456),I456&lt;&gt;""),IFERROR(IF(AND(INDEX(Брони!$F$2:$F$500,MATCH(F456,Брони!$A$2:$A$500,0))="Возвращена",I456&gt;INDEX(Брони!$E$2:$E$500,MATCH(F456,Брони!$A$2:$A$500,0))),"Да",""),""),"")</f>
        <v/>
      </c>
      <c r="K456" s="10" t="n"/>
      <c r="L456" s="14" t="n"/>
      <c r="M456" s="15">
        <f>IF(OR(A456="",B456=""),"",IF(AND(ISNUMBER(F456),H456&lt;&gt;"Компания"),D456+L456,0))</f>
        <v/>
      </c>
      <c r="N456" s="21">
        <f>SUMPRODUCT(MAX((Брони!$B$2:$B$500=B456)*((Брони!$F$2:$F$500="Выдана")+(Брони!$F$2:$F$500="Возвращена"))*(Брони!$D$2:$D$500&lt;=A456)*Брони!$D$2:$D$500))</f>
        <v/>
      </c>
      <c r="O456" s="19">
        <f>SUMPRODUCT((Брони!$B$2:$B$500=B456)*(Брони!$D$2:$D$500=N456)*((((Брони!$F$2:$F$500="Выдана")*NOW())+((Брони!$F$2:$F$500="Возвращена")*Брони!$E$2:$E$500))&gt;=A456)*Брони!$A$2:$A$500)</f>
        <v/>
      </c>
      <c r="P456" s="19">
        <f>SUMPRODUCT((Брони!$B$2:$B$500=B456)*(Брони!$D$2:$D$500=N456)*(((Брони!$F$2:$F$500="Выдана")+(Брони!$F$2:$F$500="Возвращена"))))</f>
        <v/>
      </c>
      <c r="Q456" s="10" t="n"/>
    </row>
    <row r="457">
      <c r="A457" s="11" t="n"/>
      <c r="B457" s="10" t="n"/>
      <c r="C457" s="10" t="n"/>
      <c r="D457" s="14" t="n"/>
      <c r="E457" s="10" t="n"/>
      <c r="F457" s="20">
        <f>IF(OR(A457="",B457=""),"",IF(OR(NOT(ISNUMBER(A457)),ISERROR(N457+O457+P457)),"Проверьте даты",IF(AND(N457&gt;0,P457&gt;1),"Дубль",IF(AND(N457&gt;0,O457&gt;0),O457,"Вне аренды"))))</f>
        <v/>
      </c>
      <c r="G457" s="12">
        <f>IF(ISNUMBER(F457),IFERROR(INDEX(Брони!$C$2:$C$500,MATCH(F457,Брони!$A$2:$A$500,0)),""),"")</f>
        <v/>
      </c>
      <c r="H457" s="10" t="n"/>
      <c r="I457" s="18" t="n"/>
      <c r="J457" s="12">
        <f>IF(AND(ISNUMBER(F457),I457&lt;&gt;""),IFERROR(IF(AND(INDEX(Брони!$F$2:$F$500,MATCH(F457,Брони!$A$2:$A$500,0))="Возвращена",I457&gt;INDEX(Брони!$E$2:$E$500,MATCH(F457,Брони!$A$2:$A$500,0))),"Да",""),""),"")</f>
        <v/>
      </c>
      <c r="K457" s="10" t="n"/>
      <c r="L457" s="14" t="n"/>
      <c r="M457" s="15">
        <f>IF(OR(A457="",B457=""),"",IF(AND(ISNUMBER(F457),H457&lt;&gt;"Компания"),D457+L457,0))</f>
        <v/>
      </c>
      <c r="N457" s="21">
        <f>SUMPRODUCT(MAX((Брони!$B$2:$B$500=B457)*((Брони!$F$2:$F$500="Выдана")+(Брони!$F$2:$F$500="Возвращена"))*(Брони!$D$2:$D$500&lt;=A457)*Брони!$D$2:$D$500))</f>
        <v/>
      </c>
      <c r="O457" s="19">
        <f>SUMPRODUCT((Брони!$B$2:$B$500=B457)*(Брони!$D$2:$D$500=N457)*((((Брони!$F$2:$F$500="Выдана")*NOW())+((Брони!$F$2:$F$500="Возвращена")*Брони!$E$2:$E$500))&gt;=A457)*Брони!$A$2:$A$500)</f>
        <v/>
      </c>
      <c r="P457" s="19">
        <f>SUMPRODUCT((Брони!$B$2:$B$500=B457)*(Брони!$D$2:$D$500=N457)*(((Брони!$F$2:$F$500="Выдана")+(Брони!$F$2:$F$500="Возвращена"))))</f>
        <v/>
      </c>
      <c r="Q457" s="10" t="n"/>
    </row>
    <row r="458">
      <c r="A458" s="11" t="n"/>
      <c r="B458" s="10" t="n"/>
      <c r="C458" s="10" t="n"/>
      <c r="D458" s="14" t="n"/>
      <c r="E458" s="10" t="n"/>
      <c r="F458" s="20">
        <f>IF(OR(A458="",B458=""),"",IF(OR(NOT(ISNUMBER(A458)),ISERROR(N458+O458+P458)),"Проверьте даты",IF(AND(N458&gt;0,P458&gt;1),"Дубль",IF(AND(N458&gt;0,O458&gt;0),O458,"Вне аренды"))))</f>
        <v/>
      </c>
      <c r="G458" s="12">
        <f>IF(ISNUMBER(F458),IFERROR(INDEX(Брони!$C$2:$C$500,MATCH(F458,Брони!$A$2:$A$500,0)),""),"")</f>
        <v/>
      </c>
      <c r="H458" s="10" t="n"/>
      <c r="I458" s="18" t="n"/>
      <c r="J458" s="12">
        <f>IF(AND(ISNUMBER(F458),I458&lt;&gt;""),IFERROR(IF(AND(INDEX(Брони!$F$2:$F$500,MATCH(F458,Брони!$A$2:$A$500,0))="Возвращена",I458&gt;INDEX(Брони!$E$2:$E$500,MATCH(F458,Брони!$A$2:$A$500,0))),"Да",""),""),"")</f>
        <v/>
      </c>
      <c r="K458" s="10" t="n"/>
      <c r="L458" s="14" t="n"/>
      <c r="M458" s="15">
        <f>IF(OR(A458="",B458=""),"",IF(AND(ISNUMBER(F458),H458&lt;&gt;"Компания"),D458+L458,0))</f>
        <v/>
      </c>
      <c r="N458" s="21">
        <f>SUMPRODUCT(MAX((Брони!$B$2:$B$500=B458)*((Брони!$F$2:$F$500="Выдана")+(Брони!$F$2:$F$500="Возвращена"))*(Брони!$D$2:$D$500&lt;=A458)*Брони!$D$2:$D$500))</f>
        <v/>
      </c>
      <c r="O458" s="19">
        <f>SUMPRODUCT((Брони!$B$2:$B$500=B458)*(Брони!$D$2:$D$500=N458)*((((Брони!$F$2:$F$500="Выдана")*NOW())+((Брони!$F$2:$F$500="Возвращена")*Брони!$E$2:$E$500))&gt;=A458)*Брони!$A$2:$A$500)</f>
        <v/>
      </c>
      <c r="P458" s="19">
        <f>SUMPRODUCT((Брони!$B$2:$B$500=B458)*(Брони!$D$2:$D$500=N458)*(((Брони!$F$2:$F$500="Выдана")+(Брони!$F$2:$F$500="Возвращена"))))</f>
        <v/>
      </c>
      <c r="Q458" s="10" t="n"/>
    </row>
    <row r="459">
      <c r="A459" s="11" t="n"/>
      <c r="B459" s="10" t="n"/>
      <c r="C459" s="10" t="n"/>
      <c r="D459" s="14" t="n"/>
      <c r="E459" s="10" t="n"/>
      <c r="F459" s="20">
        <f>IF(OR(A459="",B459=""),"",IF(OR(NOT(ISNUMBER(A459)),ISERROR(N459+O459+P459)),"Проверьте даты",IF(AND(N459&gt;0,P459&gt;1),"Дубль",IF(AND(N459&gt;0,O459&gt;0),O459,"Вне аренды"))))</f>
        <v/>
      </c>
      <c r="G459" s="12">
        <f>IF(ISNUMBER(F459),IFERROR(INDEX(Брони!$C$2:$C$500,MATCH(F459,Брони!$A$2:$A$500,0)),""),"")</f>
        <v/>
      </c>
      <c r="H459" s="10" t="n"/>
      <c r="I459" s="18" t="n"/>
      <c r="J459" s="12">
        <f>IF(AND(ISNUMBER(F459),I459&lt;&gt;""),IFERROR(IF(AND(INDEX(Брони!$F$2:$F$500,MATCH(F459,Брони!$A$2:$A$500,0))="Возвращена",I459&gt;INDEX(Брони!$E$2:$E$500,MATCH(F459,Брони!$A$2:$A$500,0))),"Да",""),""),"")</f>
        <v/>
      </c>
      <c r="K459" s="10" t="n"/>
      <c r="L459" s="14" t="n"/>
      <c r="M459" s="15">
        <f>IF(OR(A459="",B459=""),"",IF(AND(ISNUMBER(F459),H459&lt;&gt;"Компания"),D459+L459,0))</f>
        <v/>
      </c>
      <c r="N459" s="21">
        <f>SUMPRODUCT(MAX((Брони!$B$2:$B$500=B459)*((Брони!$F$2:$F$500="Выдана")+(Брони!$F$2:$F$500="Возвращена"))*(Брони!$D$2:$D$500&lt;=A459)*Брони!$D$2:$D$500))</f>
        <v/>
      </c>
      <c r="O459" s="19">
        <f>SUMPRODUCT((Брони!$B$2:$B$500=B459)*(Брони!$D$2:$D$500=N459)*((((Брони!$F$2:$F$500="Выдана")*NOW())+((Брони!$F$2:$F$500="Возвращена")*Брони!$E$2:$E$500))&gt;=A459)*Брони!$A$2:$A$500)</f>
        <v/>
      </c>
      <c r="P459" s="19">
        <f>SUMPRODUCT((Брони!$B$2:$B$500=B459)*(Брони!$D$2:$D$500=N459)*(((Брони!$F$2:$F$500="Выдана")+(Брони!$F$2:$F$500="Возвращена"))))</f>
        <v/>
      </c>
      <c r="Q459" s="10" t="n"/>
    </row>
    <row r="460">
      <c r="A460" s="11" t="n"/>
      <c r="B460" s="10" t="n"/>
      <c r="C460" s="10" t="n"/>
      <c r="D460" s="14" t="n"/>
      <c r="E460" s="10" t="n"/>
      <c r="F460" s="20">
        <f>IF(OR(A460="",B460=""),"",IF(OR(NOT(ISNUMBER(A460)),ISERROR(N460+O460+P460)),"Проверьте даты",IF(AND(N460&gt;0,P460&gt;1),"Дубль",IF(AND(N460&gt;0,O460&gt;0),O460,"Вне аренды"))))</f>
        <v/>
      </c>
      <c r="G460" s="12">
        <f>IF(ISNUMBER(F460),IFERROR(INDEX(Брони!$C$2:$C$500,MATCH(F460,Брони!$A$2:$A$500,0)),""),"")</f>
        <v/>
      </c>
      <c r="H460" s="10" t="n"/>
      <c r="I460" s="18" t="n"/>
      <c r="J460" s="12">
        <f>IF(AND(ISNUMBER(F460),I460&lt;&gt;""),IFERROR(IF(AND(INDEX(Брони!$F$2:$F$500,MATCH(F460,Брони!$A$2:$A$500,0))="Возвращена",I460&gt;INDEX(Брони!$E$2:$E$500,MATCH(F460,Брони!$A$2:$A$500,0))),"Да",""),""),"")</f>
        <v/>
      </c>
      <c r="K460" s="10" t="n"/>
      <c r="L460" s="14" t="n"/>
      <c r="M460" s="15">
        <f>IF(OR(A460="",B460=""),"",IF(AND(ISNUMBER(F460),H460&lt;&gt;"Компания"),D460+L460,0))</f>
        <v/>
      </c>
      <c r="N460" s="21">
        <f>SUMPRODUCT(MAX((Брони!$B$2:$B$500=B460)*((Брони!$F$2:$F$500="Выдана")+(Брони!$F$2:$F$500="Возвращена"))*(Брони!$D$2:$D$500&lt;=A460)*Брони!$D$2:$D$500))</f>
        <v/>
      </c>
      <c r="O460" s="19">
        <f>SUMPRODUCT((Брони!$B$2:$B$500=B460)*(Брони!$D$2:$D$500=N460)*((((Брони!$F$2:$F$500="Выдана")*NOW())+((Брони!$F$2:$F$500="Возвращена")*Брони!$E$2:$E$500))&gt;=A460)*Брони!$A$2:$A$500)</f>
        <v/>
      </c>
      <c r="P460" s="19">
        <f>SUMPRODUCT((Брони!$B$2:$B$500=B460)*(Брони!$D$2:$D$500=N460)*(((Брони!$F$2:$F$500="Выдана")+(Брони!$F$2:$F$500="Возвращена"))))</f>
        <v/>
      </c>
      <c r="Q460" s="10" t="n"/>
    </row>
    <row r="461">
      <c r="A461" s="11" t="n"/>
      <c r="B461" s="10" t="n"/>
      <c r="C461" s="10" t="n"/>
      <c r="D461" s="14" t="n"/>
      <c r="E461" s="10" t="n"/>
      <c r="F461" s="20">
        <f>IF(OR(A461="",B461=""),"",IF(OR(NOT(ISNUMBER(A461)),ISERROR(N461+O461+P461)),"Проверьте даты",IF(AND(N461&gt;0,P461&gt;1),"Дубль",IF(AND(N461&gt;0,O461&gt;0),O461,"Вне аренды"))))</f>
        <v/>
      </c>
      <c r="G461" s="12">
        <f>IF(ISNUMBER(F461),IFERROR(INDEX(Брони!$C$2:$C$500,MATCH(F461,Брони!$A$2:$A$500,0)),""),"")</f>
        <v/>
      </c>
      <c r="H461" s="10" t="n"/>
      <c r="I461" s="18" t="n"/>
      <c r="J461" s="12">
        <f>IF(AND(ISNUMBER(F461),I461&lt;&gt;""),IFERROR(IF(AND(INDEX(Брони!$F$2:$F$500,MATCH(F461,Брони!$A$2:$A$500,0))="Возвращена",I461&gt;INDEX(Брони!$E$2:$E$500,MATCH(F461,Брони!$A$2:$A$500,0))),"Да",""),""),"")</f>
        <v/>
      </c>
      <c r="K461" s="10" t="n"/>
      <c r="L461" s="14" t="n"/>
      <c r="M461" s="15">
        <f>IF(OR(A461="",B461=""),"",IF(AND(ISNUMBER(F461),H461&lt;&gt;"Компания"),D461+L461,0))</f>
        <v/>
      </c>
      <c r="N461" s="21">
        <f>SUMPRODUCT(MAX((Брони!$B$2:$B$500=B461)*((Брони!$F$2:$F$500="Выдана")+(Брони!$F$2:$F$500="Возвращена"))*(Брони!$D$2:$D$500&lt;=A461)*Брони!$D$2:$D$500))</f>
        <v/>
      </c>
      <c r="O461" s="19">
        <f>SUMPRODUCT((Брони!$B$2:$B$500=B461)*(Брони!$D$2:$D$500=N461)*((((Брони!$F$2:$F$500="Выдана")*NOW())+((Брони!$F$2:$F$500="Возвращена")*Брони!$E$2:$E$500))&gt;=A461)*Брони!$A$2:$A$500)</f>
        <v/>
      </c>
      <c r="P461" s="19">
        <f>SUMPRODUCT((Брони!$B$2:$B$500=B461)*(Брони!$D$2:$D$500=N461)*(((Брони!$F$2:$F$500="Выдана")+(Брони!$F$2:$F$500="Возвращена"))))</f>
        <v/>
      </c>
      <c r="Q461" s="10" t="n"/>
    </row>
    <row r="462">
      <c r="A462" s="11" t="n"/>
      <c r="B462" s="10" t="n"/>
      <c r="C462" s="10" t="n"/>
      <c r="D462" s="14" t="n"/>
      <c r="E462" s="10" t="n"/>
      <c r="F462" s="20">
        <f>IF(OR(A462="",B462=""),"",IF(OR(NOT(ISNUMBER(A462)),ISERROR(N462+O462+P462)),"Проверьте даты",IF(AND(N462&gt;0,P462&gt;1),"Дубль",IF(AND(N462&gt;0,O462&gt;0),O462,"Вне аренды"))))</f>
        <v/>
      </c>
      <c r="G462" s="12">
        <f>IF(ISNUMBER(F462),IFERROR(INDEX(Брони!$C$2:$C$500,MATCH(F462,Брони!$A$2:$A$500,0)),""),"")</f>
        <v/>
      </c>
      <c r="H462" s="10" t="n"/>
      <c r="I462" s="18" t="n"/>
      <c r="J462" s="12">
        <f>IF(AND(ISNUMBER(F462),I462&lt;&gt;""),IFERROR(IF(AND(INDEX(Брони!$F$2:$F$500,MATCH(F462,Брони!$A$2:$A$500,0))="Возвращена",I462&gt;INDEX(Брони!$E$2:$E$500,MATCH(F462,Брони!$A$2:$A$500,0))),"Да",""),""),"")</f>
        <v/>
      </c>
      <c r="K462" s="10" t="n"/>
      <c r="L462" s="14" t="n"/>
      <c r="M462" s="15">
        <f>IF(OR(A462="",B462=""),"",IF(AND(ISNUMBER(F462),H462&lt;&gt;"Компания"),D462+L462,0))</f>
        <v/>
      </c>
      <c r="N462" s="21">
        <f>SUMPRODUCT(MAX((Брони!$B$2:$B$500=B462)*((Брони!$F$2:$F$500="Выдана")+(Брони!$F$2:$F$500="Возвращена"))*(Брони!$D$2:$D$500&lt;=A462)*Брони!$D$2:$D$500))</f>
        <v/>
      </c>
      <c r="O462" s="19">
        <f>SUMPRODUCT((Брони!$B$2:$B$500=B462)*(Брони!$D$2:$D$500=N462)*((((Брони!$F$2:$F$500="Выдана")*NOW())+((Брони!$F$2:$F$500="Возвращена")*Брони!$E$2:$E$500))&gt;=A462)*Брони!$A$2:$A$500)</f>
        <v/>
      </c>
      <c r="P462" s="19">
        <f>SUMPRODUCT((Брони!$B$2:$B$500=B462)*(Брони!$D$2:$D$500=N462)*(((Брони!$F$2:$F$500="Выдана")+(Брони!$F$2:$F$500="Возвращена"))))</f>
        <v/>
      </c>
      <c r="Q462" s="10" t="n"/>
    </row>
    <row r="463">
      <c r="A463" s="11" t="n"/>
      <c r="B463" s="10" t="n"/>
      <c r="C463" s="10" t="n"/>
      <c r="D463" s="14" t="n"/>
      <c r="E463" s="10" t="n"/>
      <c r="F463" s="20">
        <f>IF(OR(A463="",B463=""),"",IF(OR(NOT(ISNUMBER(A463)),ISERROR(N463+O463+P463)),"Проверьте даты",IF(AND(N463&gt;0,P463&gt;1),"Дубль",IF(AND(N463&gt;0,O463&gt;0),O463,"Вне аренды"))))</f>
        <v/>
      </c>
      <c r="G463" s="12">
        <f>IF(ISNUMBER(F463),IFERROR(INDEX(Брони!$C$2:$C$500,MATCH(F463,Брони!$A$2:$A$500,0)),""),"")</f>
        <v/>
      </c>
      <c r="H463" s="10" t="n"/>
      <c r="I463" s="18" t="n"/>
      <c r="J463" s="12">
        <f>IF(AND(ISNUMBER(F463),I463&lt;&gt;""),IFERROR(IF(AND(INDEX(Брони!$F$2:$F$500,MATCH(F463,Брони!$A$2:$A$500,0))="Возвращена",I463&gt;INDEX(Брони!$E$2:$E$500,MATCH(F463,Брони!$A$2:$A$500,0))),"Да",""),""),"")</f>
        <v/>
      </c>
      <c r="K463" s="10" t="n"/>
      <c r="L463" s="14" t="n"/>
      <c r="M463" s="15">
        <f>IF(OR(A463="",B463=""),"",IF(AND(ISNUMBER(F463),H463&lt;&gt;"Компания"),D463+L463,0))</f>
        <v/>
      </c>
      <c r="N463" s="21">
        <f>SUMPRODUCT(MAX((Брони!$B$2:$B$500=B463)*((Брони!$F$2:$F$500="Выдана")+(Брони!$F$2:$F$500="Возвращена"))*(Брони!$D$2:$D$500&lt;=A463)*Брони!$D$2:$D$500))</f>
        <v/>
      </c>
      <c r="O463" s="19">
        <f>SUMPRODUCT((Брони!$B$2:$B$500=B463)*(Брони!$D$2:$D$500=N463)*((((Брони!$F$2:$F$500="Выдана")*NOW())+((Брони!$F$2:$F$500="Возвращена")*Брони!$E$2:$E$500))&gt;=A463)*Брони!$A$2:$A$500)</f>
        <v/>
      </c>
      <c r="P463" s="19">
        <f>SUMPRODUCT((Брони!$B$2:$B$500=B463)*(Брони!$D$2:$D$500=N463)*(((Брони!$F$2:$F$500="Выдана")+(Брони!$F$2:$F$500="Возвращена"))))</f>
        <v/>
      </c>
      <c r="Q463" s="10" t="n"/>
    </row>
    <row r="464">
      <c r="A464" s="11" t="n"/>
      <c r="B464" s="10" t="n"/>
      <c r="C464" s="10" t="n"/>
      <c r="D464" s="14" t="n"/>
      <c r="E464" s="10" t="n"/>
      <c r="F464" s="20">
        <f>IF(OR(A464="",B464=""),"",IF(OR(NOT(ISNUMBER(A464)),ISERROR(N464+O464+P464)),"Проверьте даты",IF(AND(N464&gt;0,P464&gt;1),"Дубль",IF(AND(N464&gt;0,O464&gt;0),O464,"Вне аренды"))))</f>
        <v/>
      </c>
      <c r="G464" s="12">
        <f>IF(ISNUMBER(F464),IFERROR(INDEX(Брони!$C$2:$C$500,MATCH(F464,Брони!$A$2:$A$500,0)),""),"")</f>
        <v/>
      </c>
      <c r="H464" s="10" t="n"/>
      <c r="I464" s="18" t="n"/>
      <c r="J464" s="12">
        <f>IF(AND(ISNUMBER(F464),I464&lt;&gt;""),IFERROR(IF(AND(INDEX(Брони!$F$2:$F$500,MATCH(F464,Брони!$A$2:$A$500,0))="Возвращена",I464&gt;INDEX(Брони!$E$2:$E$500,MATCH(F464,Брони!$A$2:$A$500,0))),"Да",""),""),"")</f>
        <v/>
      </c>
      <c r="K464" s="10" t="n"/>
      <c r="L464" s="14" t="n"/>
      <c r="M464" s="15">
        <f>IF(OR(A464="",B464=""),"",IF(AND(ISNUMBER(F464),H464&lt;&gt;"Компания"),D464+L464,0))</f>
        <v/>
      </c>
      <c r="N464" s="21">
        <f>SUMPRODUCT(MAX((Брони!$B$2:$B$500=B464)*((Брони!$F$2:$F$500="Выдана")+(Брони!$F$2:$F$500="Возвращена"))*(Брони!$D$2:$D$500&lt;=A464)*Брони!$D$2:$D$500))</f>
        <v/>
      </c>
      <c r="O464" s="19">
        <f>SUMPRODUCT((Брони!$B$2:$B$500=B464)*(Брони!$D$2:$D$500=N464)*((((Брони!$F$2:$F$500="Выдана")*NOW())+((Брони!$F$2:$F$500="Возвращена")*Брони!$E$2:$E$500))&gt;=A464)*Брони!$A$2:$A$500)</f>
        <v/>
      </c>
      <c r="P464" s="19">
        <f>SUMPRODUCT((Брони!$B$2:$B$500=B464)*(Брони!$D$2:$D$500=N464)*(((Брони!$F$2:$F$500="Выдана")+(Брони!$F$2:$F$500="Возвращена"))))</f>
        <v/>
      </c>
      <c r="Q464" s="10" t="n"/>
    </row>
    <row r="465">
      <c r="A465" s="11" t="n"/>
      <c r="B465" s="10" t="n"/>
      <c r="C465" s="10" t="n"/>
      <c r="D465" s="14" t="n"/>
      <c r="E465" s="10" t="n"/>
      <c r="F465" s="20">
        <f>IF(OR(A465="",B465=""),"",IF(OR(NOT(ISNUMBER(A465)),ISERROR(N465+O465+P465)),"Проверьте даты",IF(AND(N465&gt;0,P465&gt;1),"Дубль",IF(AND(N465&gt;0,O465&gt;0),O465,"Вне аренды"))))</f>
        <v/>
      </c>
      <c r="G465" s="12">
        <f>IF(ISNUMBER(F465),IFERROR(INDEX(Брони!$C$2:$C$500,MATCH(F465,Брони!$A$2:$A$500,0)),""),"")</f>
        <v/>
      </c>
      <c r="H465" s="10" t="n"/>
      <c r="I465" s="18" t="n"/>
      <c r="J465" s="12">
        <f>IF(AND(ISNUMBER(F465),I465&lt;&gt;""),IFERROR(IF(AND(INDEX(Брони!$F$2:$F$500,MATCH(F465,Брони!$A$2:$A$500,0))="Возвращена",I465&gt;INDEX(Брони!$E$2:$E$500,MATCH(F465,Брони!$A$2:$A$500,0))),"Да",""),""),"")</f>
        <v/>
      </c>
      <c r="K465" s="10" t="n"/>
      <c r="L465" s="14" t="n"/>
      <c r="M465" s="15">
        <f>IF(OR(A465="",B465=""),"",IF(AND(ISNUMBER(F465),H465&lt;&gt;"Компания"),D465+L465,0))</f>
        <v/>
      </c>
      <c r="N465" s="21">
        <f>SUMPRODUCT(MAX((Брони!$B$2:$B$500=B465)*((Брони!$F$2:$F$500="Выдана")+(Брони!$F$2:$F$500="Возвращена"))*(Брони!$D$2:$D$500&lt;=A465)*Брони!$D$2:$D$500))</f>
        <v/>
      </c>
      <c r="O465" s="19">
        <f>SUMPRODUCT((Брони!$B$2:$B$500=B465)*(Брони!$D$2:$D$500=N465)*((((Брони!$F$2:$F$500="Выдана")*NOW())+((Брони!$F$2:$F$500="Возвращена")*Брони!$E$2:$E$500))&gt;=A465)*Брони!$A$2:$A$500)</f>
        <v/>
      </c>
      <c r="P465" s="19">
        <f>SUMPRODUCT((Брони!$B$2:$B$500=B465)*(Брони!$D$2:$D$500=N465)*(((Брони!$F$2:$F$500="Выдана")+(Брони!$F$2:$F$500="Возвращена"))))</f>
        <v/>
      </c>
      <c r="Q465" s="10" t="n"/>
    </row>
    <row r="466">
      <c r="A466" s="11" t="n"/>
      <c r="B466" s="10" t="n"/>
      <c r="C466" s="10" t="n"/>
      <c r="D466" s="14" t="n"/>
      <c r="E466" s="10" t="n"/>
      <c r="F466" s="20">
        <f>IF(OR(A466="",B466=""),"",IF(OR(NOT(ISNUMBER(A466)),ISERROR(N466+O466+P466)),"Проверьте даты",IF(AND(N466&gt;0,P466&gt;1),"Дубль",IF(AND(N466&gt;0,O466&gt;0),O466,"Вне аренды"))))</f>
        <v/>
      </c>
      <c r="G466" s="12">
        <f>IF(ISNUMBER(F466),IFERROR(INDEX(Брони!$C$2:$C$500,MATCH(F466,Брони!$A$2:$A$500,0)),""),"")</f>
        <v/>
      </c>
      <c r="H466" s="10" t="n"/>
      <c r="I466" s="18" t="n"/>
      <c r="J466" s="12">
        <f>IF(AND(ISNUMBER(F466),I466&lt;&gt;""),IFERROR(IF(AND(INDEX(Брони!$F$2:$F$500,MATCH(F466,Брони!$A$2:$A$500,0))="Возвращена",I466&gt;INDEX(Брони!$E$2:$E$500,MATCH(F466,Брони!$A$2:$A$500,0))),"Да",""),""),"")</f>
        <v/>
      </c>
      <c r="K466" s="10" t="n"/>
      <c r="L466" s="14" t="n"/>
      <c r="M466" s="15">
        <f>IF(OR(A466="",B466=""),"",IF(AND(ISNUMBER(F466),H466&lt;&gt;"Компания"),D466+L466,0))</f>
        <v/>
      </c>
      <c r="N466" s="21">
        <f>SUMPRODUCT(MAX((Брони!$B$2:$B$500=B466)*((Брони!$F$2:$F$500="Выдана")+(Брони!$F$2:$F$500="Возвращена"))*(Брони!$D$2:$D$500&lt;=A466)*Брони!$D$2:$D$500))</f>
        <v/>
      </c>
      <c r="O466" s="19">
        <f>SUMPRODUCT((Брони!$B$2:$B$500=B466)*(Брони!$D$2:$D$500=N466)*((((Брони!$F$2:$F$500="Выдана")*NOW())+((Брони!$F$2:$F$500="Возвращена")*Брони!$E$2:$E$500))&gt;=A466)*Брони!$A$2:$A$500)</f>
        <v/>
      </c>
      <c r="P466" s="19">
        <f>SUMPRODUCT((Брони!$B$2:$B$500=B466)*(Брони!$D$2:$D$500=N466)*(((Брони!$F$2:$F$500="Выдана")+(Брони!$F$2:$F$500="Возвращена"))))</f>
        <v/>
      </c>
      <c r="Q466" s="10" t="n"/>
    </row>
    <row r="467">
      <c r="A467" s="11" t="n"/>
      <c r="B467" s="10" t="n"/>
      <c r="C467" s="10" t="n"/>
      <c r="D467" s="14" t="n"/>
      <c r="E467" s="10" t="n"/>
      <c r="F467" s="20">
        <f>IF(OR(A467="",B467=""),"",IF(OR(NOT(ISNUMBER(A467)),ISERROR(N467+O467+P467)),"Проверьте даты",IF(AND(N467&gt;0,P467&gt;1),"Дубль",IF(AND(N467&gt;0,O467&gt;0),O467,"Вне аренды"))))</f>
        <v/>
      </c>
      <c r="G467" s="12">
        <f>IF(ISNUMBER(F467),IFERROR(INDEX(Брони!$C$2:$C$500,MATCH(F467,Брони!$A$2:$A$500,0)),""),"")</f>
        <v/>
      </c>
      <c r="H467" s="10" t="n"/>
      <c r="I467" s="18" t="n"/>
      <c r="J467" s="12">
        <f>IF(AND(ISNUMBER(F467),I467&lt;&gt;""),IFERROR(IF(AND(INDEX(Брони!$F$2:$F$500,MATCH(F467,Брони!$A$2:$A$500,0))="Возвращена",I467&gt;INDEX(Брони!$E$2:$E$500,MATCH(F467,Брони!$A$2:$A$500,0))),"Да",""),""),"")</f>
        <v/>
      </c>
      <c r="K467" s="10" t="n"/>
      <c r="L467" s="14" t="n"/>
      <c r="M467" s="15">
        <f>IF(OR(A467="",B467=""),"",IF(AND(ISNUMBER(F467),H467&lt;&gt;"Компания"),D467+L467,0))</f>
        <v/>
      </c>
      <c r="N467" s="21">
        <f>SUMPRODUCT(MAX((Брони!$B$2:$B$500=B467)*((Брони!$F$2:$F$500="Выдана")+(Брони!$F$2:$F$500="Возвращена"))*(Брони!$D$2:$D$500&lt;=A467)*Брони!$D$2:$D$500))</f>
        <v/>
      </c>
      <c r="O467" s="19">
        <f>SUMPRODUCT((Брони!$B$2:$B$500=B467)*(Брони!$D$2:$D$500=N467)*((((Брони!$F$2:$F$500="Выдана")*NOW())+((Брони!$F$2:$F$500="Возвращена")*Брони!$E$2:$E$500))&gt;=A467)*Брони!$A$2:$A$500)</f>
        <v/>
      </c>
      <c r="P467" s="19">
        <f>SUMPRODUCT((Брони!$B$2:$B$500=B467)*(Брони!$D$2:$D$500=N467)*(((Брони!$F$2:$F$500="Выдана")+(Брони!$F$2:$F$500="Возвращена"))))</f>
        <v/>
      </c>
      <c r="Q467" s="10" t="n"/>
    </row>
    <row r="468">
      <c r="A468" s="11" t="n"/>
      <c r="B468" s="10" t="n"/>
      <c r="C468" s="10" t="n"/>
      <c r="D468" s="14" t="n"/>
      <c r="E468" s="10" t="n"/>
      <c r="F468" s="20">
        <f>IF(OR(A468="",B468=""),"",IF(OR(NOT(ISNUMBER(A468)),ISERROR(N468+O468+P468)),"Проверьте даты",IF(AND(N468&gt;0,P468&gt;1),"Дубль",IF(AND(N468&gt;0,O468&gt;0),O468,"Вне аренды"))))</f>
        <v/>
      </c>
      <c r="G468" s="12">
        <f>IF(ISNUMBER(F468),IFERROR(INDEX(Брони!$C$2:$C$500,MATCH(F468,Брони!$A$2:$A$500,0)),""),"")</f>
        <v/>
      </c>
      <c r="H468" s="10" t="n"/>
      <c r="I468" s="18" t="n"/>
      <c r="J468" s="12">
        <f>IF(AND(ISNUMBER(F468),I468&lt;&gt;""),IFERROR(IF(AND(INDEX(Брони!$F$2:$F$500,MATCH(F468,Брони!$A$2:$A$500,0))="Возвращена",I468&gt;INDEX(Брони!$E$2:$E$500,MATCH(F468,Брони!$A$2:$A$500,0))),"Да",""),""),"")</f>
        <v/>
      </c>
      <c r="K468" s="10" t="n"/>
      <c r="L468" s="14" t="n"/>
      <c r="M468" s="15">
        <f>IF(OR(A468="",B468=""),"",IF(AND(ISNUMBER(F468),H468&lt;&gt;"Компания"),D468+L468,0))</f>
        <v/>
      </c>
      <c r="N468" s="21">
        <f>SUMPRODUCT(MAX((Брони!$B$2:$B$500=B468)*((Брони!$F$2:$F$500="Выдана")+(Брони!$F$2:$F$500="Возвращена"))*(Брони!$D$2:$D$500&lt;=A468)*Брони!$D$2:$D$500))</f>
        <v/>
      </c>
      <c r="O468" s="19">
        <f>SUMPRODUCT((Брони!$B$2:$B$500=B468)*(Брони!$D$2:$D$500=N468)*((((Брони!$F$2:$F$500="Выдана")*NOW())+((Брони!$F$2:$F$500="Возвращена")*Брони!$E$2:$E$500))&gt;=A468)*Брони!$A$2:$A$500)</f>
        <v/>
      </c>
      <c r="P468" s="19">
        <f>SUMPRODUCT((Брони!$B$2:$B$500=B468)*(Брони!$D$2:$D$500=N468)*(((Брони!$F$2:$F$500="Выдана")+(Брони!$F$2:$F$500="Возвращена"))))</f>
        <v/>
      </c>
      <c r="Q468" s="10" t="n"/>
    </row>
    <row r="469">
      <c r="A469" s="11" t="n"/>
      <c r="B469" s="10" t="n"/>
      <c r="C469" s="10" t="n"/>
      <c r="D469" s="14" t="n"/>
      <c r="E469" s="10" t="n"/>
      <c r="F469" s="20">
        <f>IF(OR(A469="",B469=""),"",IF(OR(NOT(ISNUMBER(A469)),ISERROR(N469+O469+P469)),"Проверьте даты",IF(AND(N469&gt;0,P469&gt;1),"Дубль",IF(AND(N469&gt;0,O469&gt;0),O469,"Вне аренды"))))</f>
        <v/>
      </c>
      <c r="G469" s="12">
        <f>IF(ISNUMBER(F469),IFERROR(INDEX(Брони!$C$2:$C$500,MATCH(F469,Брони!$A$2:$A$500,0)),""),"")</f>
        <v/>
      </c>
      <c r="H469" s="10" t="n"/>
      <c r="I469" s="18" t="n"/>
      <c r="J469" s="12">
        <f>IF(AND(ISNUMBER(F469),I469&lt;&gt;""),IFERROR(IF(AND(INDEX(Брони!$F$2:$F$500,MATCH(F469,Брони!$A$2:$A$500,0))="Возвращена",I469&gt;INDEX(Брони!$E$2:$E$500,MATCH(F469,Брони!$A$2:$A$500,0))),"Да",""),""),"")</f>
        <v/>
      </c>
      <c r="K469" s="10" t="n"/>
      <c r="L469" s="14" t="n"/>
      <c r="M469" s="15">
        <f>IF(OR(A469="",B469=""),"",IF(AND(ISNUMBER(F469),H469&lt;&gt;"Компания"),D469+L469,0))</f>
        <v/>
      </c>
      <c r="N469" s="21">
        <f>SUMPRODUCT(MAX((Брони!$B$2:$B$500=B469)*((Брони!$F$2:$F$500="Выдана")+(Брони!$F$2:$F$500="Возвращена"))*(Брони!$D$2:$D$500&lt;=A469)*Брони!$D$2:$D$500))</f>
        <v/>
      </c>
      <c r="O469" s="19">
        <f>SUMPRODUCT((Брони!$B$2:$B$500=B469)*(Брони!$D$2:$D$500=N469)*((((Брони!$F$2:$F$500="Выдана")*NOW())+((Брони!$F$2:$F$500="Возвращена")*Брони!$E$2:$E$500))&gt;=A469)*Брони!$A$2:$A$500)</f>
        <v/>
      </c>
      <c r="P469" s="19">
        <f>SUMPRODUCT((Брони!$B$2:$B$500=B469)*(Брони!$D$2:$D$500=N469)*(((Брони!$F$2:$F$500="Выдана")+(Брони!$F$2:$F$500="Возвращена"))))</f>
        <v/>
      </c>
      <c r="Q469" s="10" t="n"/>
    </row>
    <row r="470">
      <c r="A470" s="11" t="n"/>
      <c r="B470" s="10" t="n"/>
      <c r="C470" s="10" t="n"/>
      <c r="D470" s="14" t="n"/>
      <c r="E470" s="10" t="n"/>
      <c r="F470" s="20">
        <f>IF(OR(A470="",B470=""),"",IF(OR(NOT(ISNUMBER(A470)),ISERROR(N470+O470+P470)),"Проверьте даты",IF(AND(N470&gt;0,P470&gt;1),"Дубль",IF(AND(N470&gt;0,O470&gt;0),O470,"Вне аренды"))))</f>
        <v/>
      </c>
      <c r="G470" s="12">
        <f>IF(ISNUMBER(F470),IFERROR(INDEX(Брони!$C$2:$C$500,MATCH(F470,Брони!$A$2:$A$500,0)),""),"")</f>
        <v/>
      </c>
      <c r="H470" s="10" t="n"/>
      <c r="I470" s="18" t="n"/>
      <c r="J470" s="12">
        <f>IF(AND(ISNUMBER(F470),I470&lt;&gt;""),IFERROR(IF(AND(INDEX(Брони!$F$2:$F$500,MATCH(F470,Брони!$A$2:$A$500,0))="Возвращена",I470&gt;INDEX(Брони!$E$2:$E$500,MATCH(F470,Брони!$A$2:$A$500,0))),"Да",""),""),"")</f>
        <v/>
      </c>
      <c r="K470" s="10" t="n"/>
      <c r="L470" s="14" t="n"/>
      <c r="M470" s="15">
        <f>IF(OR(A470="",B470=""),"",IF(AND(ISNUMBER(F470),H470&lt;&gt;"Компания"),D470+L470,0))</f>
        <v/>
      </c>
      <c r="N470" s="21">
        <f>SUMPRODUCT(MAX((Брони!$B$2:$B$500=B470)*((Брони!$F$2:$F$500="Выдана")+(Брони!$F$2:$F$500="Возвращена"))*(Брони!$D$2:$D$500&lt;=A470)*Брони!$D$2:$D$500))</f>
        <v/>
      </c>
      <c r="O470" s="19">
        <f>SUMPRODUCT((Брони!$B$2:$B$500=B470)*(Брони!$D$2:$D$500=N470)*((((Брони!$F$2:$F$500="Выдана")*NOW())+((Брони!$F$2:$F$500="Возвращена")*Брони!$E$2:$E$500))&gt;=A470)*Брони!$A$2:$A$500)</f>
        <v/>
      </c>
      <c r="P470" s="19">
        <f>SUMPRODUCT((Брони!$B$2:$B$500=B470)*(Брони!$D$2:$D$500=N470)*(((Брони!$F$2:$F$500="Выдана")+(Брони!$F$2:$F$500="Возвращена"))))</f>
        <v/>
      </c>
      <c r="Q470" s="10" t="n"/>
    </row>
    <row r="471">
      <c r="A471" s="11" t="n"/>
      <c r="B471" s="10" t="n"/>
      <c r="C471" s="10" t="n"/>
      <c r="D471" s="14" t="n"/>
      <c r="E471" s="10" t="n"/>
      <c r="F471" s="20">
        <f>IF(OR(A471="",B471=""),"",IF(OR(NOT(ISNUMBER(A471)),ISERROR(N471+O471+P471)),"Проверьте даты",IF(AND(N471&gt;0,P471&gt;1),"Дубль",IF(AND(N471&gt;0,O471&gt;0),O471,"Вне аренды"))))</f>
        <v/>
      </c>
      <c r="G471" s="12">
        <f>IF(ISNUMBER(F471),IFERROR(INDEX(Брони!$C$2:$C$500,MATCH(F471,Брони!$A$2:$A$500,0)),""),"")</f>
        <v/>
      </c>
      <c r="H471" s="10" t="n"/>
      <c r="I471" s="18" t="n"/>
      <c r="J471" s="12">
        <f>IF(AND(ISNUMBER(F471),I471&lt;&gt;""),IFERROR(IF(AND(INDEX(Брони!$F$2:$F$500,MATCH(F471,Брони!$A$2:$A$500,0))="Возвращена",I471&gt;INDEX(Брони!$E$2:$E$500,MATCH(F471,Брони!$A$2:$A$500,0))),"Да",""),""),"")</f>
        <v/>
      </c>
      <c r="K471" s="10" t="n"/>
      <c r="L471" s="14" t="n"/>
      <c r="M471" s="15">
        <f>IF(OR(A471="",B471=""),"",IF(AND(ISNUMBER(F471),H471&lt;&gt;"Компания"),D471+L471,0))</f>
        <v/>
      </c>
      <c r="N471" s="21">
        <f>SUMPRODUCT(MAX((Брони!$B$2:$B$500=B471)*((Брони!$F$2:$F$500="Выдана")+(Брони!$F$2:$F$500="Возвращена"))*(Брони!$D$2:$D$500&lt;=A471)*Брони!$D$2:$D$500))</f>
        <v/>
      </c>
      <c r="O471" s="19">
        <f>SUMPRODUCT((Брони!$B$2:$B$500=B471)*(Брони!$D$2:$D$500=N471)*((((Брони!$F$2:$F$500="Выдана")*NOW())+((Брони!$F$2:$F$500="Возвращена")*Брони!$E$2:$E$500))&gt;=A471)*Брони!$A$2:$A$500)</f>
        <v/>
      </c>
      <c r="P471" s="19">
        <f>SUMPRODUCT((Брони!$B$2:$B$500=B471)*(Брони!$D$2:$D$500=N471)*(((Брони!$F$2:$F$500="Выдана")+(Брони!$F$2:$F$500="Возвращена"))))</f>
        <v/>
      </c>
      <c r="Q471" s="10" t="n"/>
    </row>
    <row r="472">
      <c r="A472" s="11" t="n"/>
      <c r="B472" s="10" t="n"/>
      <c r="C472" s="10" t="n"/>
      <c r="D472" s="14" t="n"/>
      <c r="E472" s="10" t="n"/>
      <c r="F472" s="20">
        <f>IF(OR(A472="",B472=""),"",IF(OR(NOT(ISNUMBER(A472)),ISERROR(N472+O472+P472)),"Проверьте даты",IF(AND(N472&gt;0,P472&gt;1),"Дубль",IF(AND(N472&gt;0,O472&gt;0),O472,"Вне аренды"))))</f>
        <v/>
      </c>
      <c r="G472" s="12">
        <f>IF(ISNUMBER(F472),IFERROR(INDEX(Брони!$C$2:$C$500,MATCH(F472,Брони!$A$2:$A$500,0)),""),"")</f>
        <v/>
      </c>
      <c r="H472" s="10" t="n"/>
      <c r="I472" s="18" t="n"/>
      <c r="J472" s="12">
        <f>IF(AND(ISNUMBER(F472),I472&lt;&gt;""),IFERROR(IF(AND(INDEX(Брони!$F$2:$F$500,MATCH(F472,Брони!$A$2:$A$500,0))="Возвращена",I472&gt;INDEX(Брони!$E$2:$E$500,MATCH(F472,Брони!$A$2:$A$500,0))),"Да",""),""),"")</f>
        <v/>
      </c>
      <c r="K472" s="10" t="n"/>
      <c r="L472" s="14" t="n"/>
      <c r="M472" s="15">
        <f>IF(OR(A472="",B472=""),"",IF(AND(ISNUMBER(F472),H472&lt;&gt;"Компания"),D472+L472,0))</f>
        <v/>
      </c>
      <c r="N472" s="21">
        <f>SUMPRODUCT(MAX((Брони!$B$2:$B$500=B472)*((Брони!$F$2:$F$500="Выдана")+(Брони!$F$2:$F$500="Возвращена"))*(Брони!$D$2:$D$500&lt;=A472)*Брони!$D$2:$D$500))</f>
        <v/>
      </c>
      <c r="O472" s="19">
        <f>SUMPRODUCT((Брони!$B$2:$B$500=B472)*(Брони!$D$2:$D$500=N472)*((((Брони!$F$2:$F$500="Выдана")*NOW())+((Брони!$F$2:$F$500="Возвращена")*Брони!$E$2:$E$500))&gt;=A472)*Брони!$A$2:$A$500)</f>
        <v/>
      </c>
      <c r="P472" s="19">
        <f>SUMPRODUCT((Брони!$B$2:$B$500=B472)*(Брони!$D$2:$D$500=N472)*(((Брони!$F$2:$F$500="Выдана")+(Брони!$F$2:$F$500="Возвращена"))))</f>
        <v/>
      </c>
      <c r="Q472" s="10" t="n"/>
    </row>
    <row r="473">
      <c r="A473" s="11" t="n"/>
      <c r="B473" s="10" t="n"/>
      <c r="C473" s="10" t="n"/>
      <c r="D473" s="14" t="n"/>
      <c r="E473" s="10" t="n"/>
      <c r="F473" s="20">
        <f>IF(OR(A473="",B473=""),"",IF(OR(NOT(ISNUMBER(A473)),ISERROR(N473+O473+P473)),"Проверьте даты",IF(AND(N473&gt;0,P473&gt;1),"Дубль",IF(AND(N473&gt;0,O473&gt;0),O473,"Вне аренды"))))</f>
        <v/>
      </c>
      <c r="G473" s="12">
        <f>IF(ISNUMBER(F473),IFERROR(INDEX(Брони!$C$2:$C$500,MATCH(F473,Брони!$A$2:$A$500,0)),""),"")</f>
        <v/>
      </c>
      <c r="H473" s="10" t="n"/>
      <c r="I473" s="18" t="n"/>
      <c r="J473" s="12">
        <f>IF(AND(ISNUMBER(F473),I473&lt;&gt;""),IFERROR(IF(AND(INDEX(Брони!$F$2:$F$500,MATCH(F473,Брони!$A$2:$A$500,0))="Возвращена",I473&gt;INDEX(Брони!$E$2:$E$500,MATCH(F473,Брони!$A$2:$A$500,0))),"Да",""),""),"")</f>
        <v/>
      </c>
      <c r="K473" s="10" t="n"/>
      <c r="L473" s="14" t="n"/>
      <c r="M473" s="15">
        <f>IF(OR(A473="",B473=""),"",IF(AND(ISNUMBER(F473),H473&lt;&gt;"Компания"),D473+L473,0))</f>
        <v/>
      </c>
      <c r="N473" s="21">
        <f>SUMPRODUCT(MAX((Брони!$B$2:$B$500=B473)*((Брони!$F$2:$F$500="Выдана")+(Брони!$F$2:$F$500="Возвращена"))*(Брони!$D$2:$D$500&lt;=A473)*Брони!$D$2:$D$500))</f>
        <v/>
      </c>
      <c r="O473" s="19">
        <f>SUMPRODUCT((Брони!$B$2:$B$500=B473)*(Брони!$D$2:$D$500=N473)*((((Брони!$F$2:$F$500="Выдана")*NOW())+((Брони!$F$2:$F$500="Возвращена")*Брони!$E$2:$E$500))&gt;=A473)*Брони!$A$2:$A$500)</f>
        <v/>
      </c>
      <c r="P473" s="19">
        <f>SUMPRODUCT((Брони!$B$2:$B$500=B473)*(Брони!$D$2:$D$500=N473)*(((Брони!$F$2:$F$500="Выдана")+(Брони!$F$2:$F$500="Возвращена"))))</f>
        <v/>
      </c>
      <c r="Q473" s="10" t="n"/>
    </row>
    <row r="474">
      <c r="A474" s="11" t="n"/>
      <c r="B474" s="10" t="n"/>
      <c r="C474" s="10" t="n"/>
      <c r="D474" s="14" t="n"/>
      <c r="E474" s="10" t="n"/>
      <c r="F474" s="20">
        <f>IF(OR(A474="",B474=""),"",IF(OR(NOT(ISNUMBER(A474)),ISERROR(N474+O474+P474)),"Проверьте даты",IF(AND(N474&gt;0,P474&gt;1),"Дубль",IF(AND(N474&gt;0,O474&gt;0),O474,"Вне аренды"))))</f>
        <v/>
      </c>
      <c r="G474" s="12">
        <f>IF(ISNUMBER(F474),IFERROR(INDEX(Брони!$C$2:$C$500,MATCH(F474,Брони!$A$2:$A$500,0)),""),"")</f>
        <v/>
      </c>
      <c r="H474" s="10" t="n"/>
      <c r="I474" s="18" t="n"/>
      <c r="J474" s="12">
        <f>IF(AND(ISNUMBER(F474),I474&lt;&gt;""),IFERROR(IF(AND(INDEX(Брони!$F$2:$F$500,MATCH(F474,Брони!$A$2:$A$500,0))="Возвращена",I474&gt;INDEX(Брони!$E$2:$E$500,MATCH(F474,Брони!$A$2:$A$500,0))),"Да",""),""),"")</f>
        <v/>
      </c>
      <c r="K474" s="10" t="n"/>
      <c r="L474" s="14" t="n"/>
      <c r="M474" s="15">
        <f>IF(OR(A474="",B474=""),"",IF(AND(ISNUMBER(F474),H474&lt;&gt;"Компания"),D474+L474,0))</f>
        <v/>
      </c>
      <c r="N474" s="21">
        <f>SUMPRODUCT(MAX((Брони!$B$2:$B$500=B474)*((Брони!$F$2:$F$500="Выдана")+(Брони!$F$2:$F$500="Возвращена"))*(Брони!$D$2:$D$500&lt;=A474)*Брони!$D$2:$D$500))</f>
        <v/>
      </c>
      <c r="O474" s="19">
        <f>SUMPRODUCT((Брони!$B$2:$B$500=B474)*(Брони!$D$2:$D$500=N474)*((((Брони!$F$2:$F$500="Выдана")*NOW())+((Брони!$F$2:$F$500="Возвращена")*Брони!$E$2:$E$500))&gt;=A474)*Брони!$A$2:$A$500)</f>
        <v/>
      </c>
      <c r="P474" s="19">
        <f>SUMPRODUCT((Брони!$B$2:$B$500=B474)*(Брони!$D$2:$D$500=N474)*(((Брони!$F$2:$F$500="Выдана")+(Брони!$F$2:$F$500="Возвращена"))))</f>
        <v/>
      </c>
      <c r="Q474" s="10" t="n"/>
    </row>
    <row r="475">
      <c r="A475" s="11" t="n"/>
      <c r="B475" s="10" t="n"/>
      <c r="C475" s="10" t="n"/>
      <c r="D475" s="14" t="n"/>
      <c r="E475" s="10" t="n"/>
      <c r="F475" s="20">
        <f>IF(OR(A475="",B475=""),"",IF(OR(NOT(ISNUMBER(A475)),ISERROR(N475+O475+P475)),"Проверьте даты",IF(AND(N475&gt;0,P475&gt;1),"Дубль",IF(AND(N475&gt;0,O475&gt;0),O475,"Вне аренды"))))</f>
        <v/>
      </c>
      <c r="G475" s="12">
        <f>IF(ISNUMBER(F475),IFERROR(INDEX(Брони!$C$2:$C$500,MATCH(F475,Брони!$A$2:$A$500,0)),""),"")</f>
        <v/>
      </c>
      <c r="H475" s="10" t="n"/>
      <c r="I475" s="18" t="n"/>
      <c r="J475" s="12">
        <f>IF(AND(ISNUMBER(F475),I475&lt;&gt;""),IFERROR(IF(AND(INDEX(Брони!$F$2:$F$500,MATCH(F475,Брони!$A$2:$A$500,0))="Возвращена",I475&gt;INDEX(Брони!$E$2:$E$500,MATCH(F475,Брони!$A$2:$A$500,0))),"Да",""),""),"")</f>
        <v/>
      </c>
      <c r="K475" s="10" t="n"/>
      <c r="L475" s="14" t="n"/>
      <c r="M475" s="15">
        <f>IF(OR(A475="",B475=""),"",IF(AND(ISNUMBER(F475),H475&lt;&gt;"Компания"),D475+L475,0))</f>
        <v/>
      </c>
      <c r="N475" s="21">
        <f>SUMPRODUCT(MAX((Брони!$B$2:$B$500=B475)*((Брони!$F$2:$F$500="Выдана")+(Брони!$F$2:$F$500="Возвращена"))*(Брони!$D$2:$D$500&lt;=A475)*Брони!$D$2:$D$500))</f>
        <v/>
      </c>
      <c r="O475" s="19">
        <f>SUMPRODUCT((Брони!$B$2:$B$500=B475)*(Брони!$D$2:$D$500=N475)*((((Брони!$F$2:$F$500="Выдана")*NOW())+((Брони!$F$2:$F$500="Возвращена")*Брони!$E$2:$E$500))&gt;=A475)*Брони!$A$2:$A$500)</f>
        <v/>
      </c>
      <c r="P475" s="19">
        <f>SUMPRODUCT((Брони!$B$2:$B$500=B475)*(Брони!$D$2:$D$500=N475)*(((Брони!$F$2:$F$500="Выдана")+(Брони!$F$2:$F$500="Возвращена"))))</f>
        <v/>
      </c>
      <c r="Q475" s="10" t="n"/>
    </row>
    <row r="476">
      <c r="A476" s="11" t="n"/>
      <c r="B476" s="10" t="n"/>
      <c r="C476" s="10" t="n"/>
      <c r="D476" s="14" t="n"/>
      <c r="E476" s="10" t="n"/>
      <c r="F476" s="20">
        <f>IF(OR(A476="",B476=""),"",IF(OR(NOT(ISNUMBER(A476)),ISERROR(N476+O476+P476)),"Проверьте даты",IF(AND(N476&gt;0,P476&gt;1),"Дубль",IF(AND(N476&gt;0,O476&gt;0),O476,"Вне аренды"))))</f>
        <v/>
      </c>
      <c r="G476" s="12">
        <f>IF(ISNUMBER(F476),IFERROR(INDEX(Брони!$C$2:$C$500,MATCH(F476,Брони!$A$2:$A$500,0)),""),"")</f>
        <v/>
      </c>
      <c r="H476" s="10" t="n"/>
      <c r="I476" s="18" t="n"/>
      <c r="J476" s="12">
        <f>IF(AND(ISNUMBER(F476),I476&lt;&gt;""),IFERROR(IF(AND(INDEX(Брони!$F$2:$F$500,MATCH(F476,Брони!$A$2:$A$500,0))="Возвращена",I476&gt;INDEX(Брони!$E$2:$E$500,MATCH(F476,Брони!$A$2:$A$500,0))),"Да",""),""),"")</f>
        <v/>
      </c>
      <c r="K476" s="10" t="n"/>
      <c r="L476" s="14" t="n"/>
      <c r="M476" s="15">
        <f>IF(OR(A476="",B476=""),"",IF(AND(ISNUMBER(F476),H476&lt;&gt;"Компания"),D476+L476,0))</f>
        <v/>
      </c>
      <c r="N476" s="21">
        <f>SUMPRODUCT(MAX((Брони!$B$2:$B$500=B476)*((Брони!$F$2:$F$500="Выдана")+(Брони!$F$2:$F$500="Возвращена"))*(Брони!$D$2:$D$500&lt;=A476)*Брони!$D$2:$D$500))</f>
        <v/>
      </c>
      <c r="O476" s="19">
        <f>SUMPRODUCT((Брони!$B$2:$B$500=B476)*(Брони!$D$2:$D$500=N476)*((((Брони!$F$2:$F$500="Выдана")*NOW())+((Брони!$F$2:$F$500="Возвращена")*Брони!$E$2:$E$500))&gt;=A476)*Брони!$A$2:$A$500)</f>
        <v/>
      </c>
      <c r="P476" s="19">
        <f>SUMPRODUCT((Брони!$B$2:$B$500=B476)*(Брони!$D$2:$D$500=N476)*(((Брони!$F$2:$F$500="Выдана")+(Брони!$F$2:$F$500="Возвращена"))))</f>
        <v/>
      </c>
      <c r="Q476" s="10" t="n"/>
    </row>
    <row r="477">
      <c r="A477" s="11" t="n"/>
      <c r="B477" s="10" t="n"/>
      <c r="C477" s="10" t="n"/>
      <c r="D477" s="14" t="n"/>
      <c r="E477" s="10" t="n"/>
      <c r="F477" s="20">
        <f>IF(OR(A477="",B477=""),"",IF(OR(NOT(ISNUMBER(A477)),ISERROR(N477+O477+P477)),"Проверьте даты",IF(AND(N477&gt;0,P477&gt;1),"Дубль",IF(AND(N477&gt;0,O477&gt;0),O477,"Вне аренды"))))</f>
        <v/>
      </c>
      <c r="G477" s="12">
        <f>IF(ISNUMBER(F477),IFERROR(INDEX(Брони!$C$2:$C$500,MATCH(F477,Брони!$A$2:$A$500,0)),""),"")</f>
        <v/>
      </c>
      <c r="H477" s="10" t="n"/>
      <c r="I477" s="18" t="n"/>
      <c r="J477" s="12">
        <f>IF(AND(ISNUMBER(F477),I477&lt;&gt;""),IFERROR(IF(AND(INDEX(Брони!$F$2:$F$500,MATCH(F477,Брони!$A$2:$A$500,0))="Возвращена",I477&gt;INDEX(Брони!$E$2:$E$500,MATCH(F477,Брони!$A$2:$A$500,0))),"Да",""),""),"")</f>
        <v/>
      </c>
      <c r="K477" s="10" t="n"/>
      <c r="L477" s="14" t="n"/>
      <c r="M477" s="15">
        <f>IF(OR(A477="",B477=""),"",IF(AND(ISNUMBER(F477),H477&lt;&gt;"Компания"),D477+L477,0))</f>
        <v/>
      </c>
      <c r="N477" s="21">
        <f>SUMPRODUCT(MAX((Брони!$B$2:$B$500=B477)*((Брони!$F$2:$F$500="Выдана")+(Брони!$F$2:$F$500="Возвращена"))*(Брони!$D$2:$D$500&lt;=A477)*Брони!$D$2:$D$500))</f>
        <v/>
      </c>
      <c r="O477" s="19">
        <f>SUMPRODUCT((Брони!$B$2:$B$500=B477)*(Брони!$D$2:$D$500=N477)*((((Брони!$F$2:$F$500="Выдана")*NOW())+((Брони!$F$2:$F$500="Возвращена")*Брони!$E$2:$E$500))&gt;=A477)*Брони!$A$2:$A$500)</f>
        <v/>
      </c>
      <c r="P477" s="19">
        <f>SUMPRODUCT((Брони!$B$2:$B$500=B477)*(Брони!$D$2:$D$500=N477)*(((Брони!$F$2:$F$500="Выдана")+(Брони!$F$2:$F$500="Возвращена"))))</f>
        <v/>
      </c>
      <c r="Q477" s="10" t="n"/>
    </row>
    <row r="478">
      <c r="A478" s="11" t="n"/>
      <c r="B478" s="10" t="n"/>
      <c r="C478" s="10" t="n"/>
      <c r="D478" s="14" t="n"/>
      <c r="E478" s="10" t="n"/>
      <c r="F478" s="20">
        <f>IF(OR(A478="",B478=""),"",IF(OR(NOT(ISNUMBER(A478)),ISERROR(N478+O478+P478)),"Проверьте даты",IF(AND(N478&gt;0,P478&gt;1),"Дубль",IF(AND(N478&gt;0,O478&gt;0),O478,"Вне аренды"))))</f>
        <v/>
      </c>
      <c r="G478" s="12">
        <f>IF(ISNUMBER(F478),IFERROR(INDEX(Брони!$C$2:$C$500,MATCH(F478,Брони!$A$2:$A$500,0)),""),"")</f>
        <v/>
      </c>
      <c r="H478" s="10" t="n"/>
      <c r="I478" s="18" t="n"/>
      <c r="J478" s="12">
        <f>IF(AND(ISNUMBER(F478),I478&lt;&gt;""),IFERROR(IF(AND(INDEX(Брони!$F$2:$F$500,MATCH(F478,Брони!$A$2:$A$500,0))="Возвращена",I478&gt;INDEX(Брони!$E$2:$E$500,MATCH(F478,Брони!$A$2:$A$500,0))),"Да",""),""),"")</f>
        <v/>
      </c>
      <c r="K478" s="10" t="n"/>
      <c r="L478" s="14" t="n"/>
      <c r="M478" s="15">
        <f>IF(OR(A478="",B478=""),"",IF(AND(ISNUMBER(F478),H478&lt;&gt;"Компания"),D478+L478,0))</f>
        <v/>
      </c>
      <c r="N478" s="21">
        <f>SUMPRODUCT(MAX((Брони!$B$2:$B$500=B478)*((Брони!$F$2:$F$500="Выдана")+(Брони!$F$2:$F$500="Возвращена"))*(Брони!$D$2:$D$500&lt;=A478)*Брони!$D$2:$D$500))</f>
        <v/>
      </c>
      <c r="O478" s="19">
        <f>SUMPRODUCT((Брони!$B$2:$B$500=B478)*(Брони!$D$2:$D$500=N478)*((((Брони!$F$2:$F$500="Выдана")*NOW())+((Брони!$F$2:$F$500="Возвращена")*Брони!$E$2:$E$500))&gt;=A478)*Брони!$A$2:$A$500)</f>
        <v/>
      </c>
      <c r="P478" s="19">
        <f>SUMPRODUCT((Брони!$B$2:$B$500=B478)*(Брони!$D$2:$D$500=N478)*(((Брони!$F$2:$F$500="Выдана")+(Брони!$F$2:$F$500="Возвращена"))))</f>
        <v/>
      </c>
      <c r="Q478" s="10" t="n"/>
    </row>
    <row r="479">
      <c r="A479" s="11" t="n"/>
      <c r="B479" s="10" t="n"/>
      <c r="C479" s="10" t="n"/>
      <c r="D479" s="14" t="n"/>
      <c r="E479" s="10" t="n"/>
      <c r="F479" s="20">
        <f>IF(OR(A479="",B479=""),"",IF(OR(NOT(ISNUMBER(A479)),ISERROR(N479+O479+P479)),"Проверьте даты",IF(AND(N479&gt;0,P479&gt;1),"Дубль",IF(AND(N479&gt;0,O479&gt;0),O479,"Вне аренды"))))</f>
        <v/>
      </c>
      <c r="G479" s="12">
        <f>IF(ISNUMBER(F479),IFERROR(INDEX(Брони!$C$2:$C$500,MATCH(F479,Брони!$A$2:$A$500,0)),""),"")</f>
        <v/>
      </c>
      <c r="H479" s="10" t="n"/>
      <c r="I479" s="18" t="n"/>
      <c r="J479" s="12">
        <f>IF(AND(ISNUMBER(F479),I479&lt;&gt;""),IFERROR(IF(AND(INDEX(Брони!$F$2:$F$500,MATCH(F479,Брони!$A$2:$A$500,0))="Возвращена",I479&gt;INDEX(Брони!$E$2:$E$500,MATCH(F479,Брони!$A$2:$A$500,0))),"Да",""),""),"")</f>
        <v/>
      </c>
      <c r="K479" s="10" t="n"/>
      <c r="L479" s="14" t="n"/>
      <c r="M479" s="15">
        <f>IF(OR(A479="",B479=""),"",IF(AND(ISNUMBER(F479),H479&lt;&gt;"Компания"),D479+L479,0))</f>
        <v/>
      </c>
      <c r="N479" s="21">
        <f>SUMPRODUCT(MAX((Брони!$B$2:$B$500=B479)*((Брони!$F$2:$F$500="Выдана")+(Брони!$F$2:$F$500="Возвращена"))*(Брони!$D$2:$D$500&lt;=A479)*Брони!$D$2:$D$500))</f>
        <v/>
      </c>
      <c r="O479" s="19">
        <f>SUMPRODUCT((Брони!$B$2:$B$500=B479)*(Брони!$D$2:$D$500=N479)*((((Брони!$F$2:$F$500="Выдана")*NOW())+((Брони!$F$2:$F$500="Возвращена")*Брони!$E$2:$E$500))&gt;=A479)*Брони!$A$2:$A$500)</f>
        <v/>
      </c>
      <c r="P479" s="19">
        <f>SUMPRODUCT((Брони!$B$2:$B$500=B479)*(Брони!$D$2:$D$500=N479)*(((Брони!$F$2:$F$500="Выдана")+(Брони!$F$2:$F$500="Возвращена"))))</f>
        <v/>
      </c>
      <c r="Q479" s="10" t="n"/>
    </row>
    <row r="480">
      <c r="A480" s="11" t="n"/>
      <c r="B480" s="10" t="n"/>
      <c r="C480" s="10" t="n"/>
      <c r="D480" s="14" t="n"/>
      <c r="E480" s="10" t="n"/>
      <c r="F480" s="20">
        <f>IF(OR(A480="",B480=""),"",IF(OR(NOT(ISNUMBER(A480)),ISERROR(N480+O480+P480)),"Проверьте даты",IF(AND(N480&gt;0,P480&gt;1),"Дубль",IF(AND(N480&gt;0,O480&gt;0),O480,"Вне аренды"))))</f>
        <v/>
      </c>
      <c r="G480" s="12">
        <f>IF(ISNUMBER(F480),IFERROR(INDEX(Брони!$C$2:$C$500,MATCH(F480,Брони!$A$2:$A$500,0)),""),"")</f>
        <v/>
      </c>
      <c r="H480" s="10" t="n"/>
      <c r="I480" s="18" t="n"/>
      <c r="J480" s="12">
        <f>IF(AND(ISNUMBER(F480),I480&lt;&gt;""),IFERROR(IF(AND(INDEX(Брони!$F$2:$F$500,MATCH(F480,Брони!$A$2:$A$500,0))="Возвращена",I480&gt;INDEX(Брони!$E$2:$E$500,MATCH(F480,Брони!$A$2:$A$500,0))),"Да",""),""),"")</f>
        <v/>
      </c>
      <c r="K480" s="10" t="n"/>
      <c r="L480" s="14" t="n"/>
      <c r="M480" s="15">
        <f>IF(OR(A480="",B480=""),"",IF(AND(ISNUMBER(F480),H480&lt;&gt;"Компания"),D480+L480,0))</f>
        <v/>
      </c>
      <c r="N480" s="21">
        <f>SUMPRODUCT(MAX((Брони!$B$2:$B$500=B480)*((Брони!$F$2:$F$500="Выдана")+(Брони!$F$2:$F$500="Возвращена"))*(Брони!$D$2:$D$500&lt;=A480)*Брони!$D$2:$D$500))</f>
        <v/>
      </c>
      <c r="O480" s="19">
        <f>SUMPRODUCT((Брони!$B$2:$B$500=B480)*(Брони!$D$2:$D$500=N480)*((((Брони!$F$2:$F$500="Выдана")*NOW())+((Брони!$F$2:$F$500="Возвращена")*Брони!$E$2:$E$500))&gt;=A480)*Брони!$A$2:$A$500)</f>
        <v/>
      </c>
      <c r="P480" s="19">
        <f>SUMPRODUCT((Брони!$B$2:$B$500=B480)*(Брони!$D$2:$D$500=N480)*(((Брони!$F$2:$F$500="Выдана")+(Брони!$F$2:$F$500="Возвращена"))))</f>
        <v/>
      </c>
      <c r="Q480" s="10" t="n"/>
    </row>
    <row r="481">
      <c r="A481" s="11" t="n"/>
      <c r="B481" s="10" t="n"/>
      <c r="C481" s="10" t="n"/>
      <c r="D481" s="14" t="n"/>
      <c r="E481" s="10" t="n"/>
      <c r="F481" s="20">
        <f>IF(OR(A481="",B481=""),"",IF(OR(NOT(ISNUMBER(A481)),ISERROR(N481+O481+P481)),"Проверьте даты",IF(AND(N481&gt;0,P481&gt;1),"Дубль",IF(AND(N481&gt;0,O481&gt;0),O481,"Вне аренды"))))</f>
        <v/>
      </c>
      <c r="G481" s="12">
        <f>IF(ISNUMBER(F481),IFERROR(INDEX(Брони!$C$2:$C$500,MATCH(F481,Брони!$A$2:$A$500,0)),""),"")</f>
        <v/>
      </c>
      <c r="H481" s="10" t="n"/>
      <c r="I481" s="18" t="n"/>
      <c r="J481" s="12">
        <f>IF(AND(ISNUMBER(F481),I481&lt;&gt;""),IFERROR(IF(AND(INDEX(Брони!$F$2:$F$500,MATCH(F481,Брони!$A$2:$A$500,0))="Возвращена",I481&gt;INDEX(Брони!$E$2:$E$500,MATCH(F481,Брони!$A$2:$A$500,0))),"Да",""),""),"")</f>
        <v/>
      </c>
      <c r="K481" s="10" t="n"/>
      <c r="L481" s="14" t="n"/>
      <c r="M481" s="15">
        <f>IF(OR(A481="",B481=""),"",IF(AND(ISNUMBER(F481),H481&lt;&gt;"Компания"),D481+L481,0))</f>
        <v/>
      </c>
      <c r="N481" s="21">
        <f>SUMPRODUCT(MAX((Брони!$B$2:$B$500=B481)*((Брони!$F$2:$F$500="Выдана")+(Брони!$F$2:$F$500="Возвращена"))*(Брони!$D$2:$D$500&lt;=A481)*Брони!$D$2:$D$500))</f>
        <v/>
      </c>
      <c r="O481" s="19">
        <f>SUMPRODUCT((Брони!$B$2:$B$500=B481)*(Брони!$D$2:$D$500=N481)*((((Брони!$F$2:$F$500="Выдана")*NOW())+((Брони!$F$2:$F$500="Возвращена")*Брони!$E$2:$E$500))&gt;=A481)*Брони!$A$2:$A$500)</f>
        <v/>
      </c>
      <c r="P481" s="19">
        <f>SUMPRODUCT((Брони!$B$2:$B$500=B481)*(Брони!$D$2:$D$500=N481)*(((Брони!$F$2:$F$500="Выдана")+(Брони!$F$2:$F$500="Возвращена"))))</f>
        <v/>
      </c>
      <c r="Q481" s="10" t="n"/>
    </row>
    <row r="482">
      <c r="A482" s="11" t="n"/>
      <c r="B482" s="10" t="n"/>
      <c r="C482" s="10" t="n"/>
      <c r="D482" s="14" t="n"/>
      <c r="E482" s="10" t="n"/>
      <c r="F482" s="20">
        <f>IF(OR(A482="",B482=""),"",IF(OR(NOT(ISNUMBER(A482)),ISERROR(N482+O482+P482)),"Проверьте даты",IF(AND(N482&gt;0,P482&gt;1),"Дубль",IF(AND(N482&gt;0,O482&gt;0),O482,"Вне аренды"))))</f>
        <v/>
      </c>
      <c r="G482" s="12">
        <f>IF(ISNUMBER(F482),IFERROR(INDEX(Брони!$C$2:$C$500,MATCH(F482,Брони!$A$2:$A$500,0)),""),"")</f>
        <v/>
      </c>
      <c r="H482" s="10" t="n"/>
      <c r="I482" s="18" t="n"/>
      <c r="J482" s="12">
        <f>IF(AND(ISNUMBER(F482),I482&lt;&gt;""),IFERROR(IF(AND(INDEX(Брони!$F$2:$F$500,MATCH(F482,Брони!$A$2:$A$500,0))="Возвращена",I482&gt;INDEX(Брони!$E$2:$E$500,MATCH(F482,Брони!$A$2:$A$500,0))),"Да",""),""),"")</f>
        <v/>
      </c>
      <c r="K482" s="10" t="n"/>
      <c r="L482" s="14" t="n"/>
      <c r="M482" s="15">
        <f>IF(OR(A482="",B482=""),"",IF(AND(ISNUMBER(F482),H482&lt;&gt;"Компания"),D482+L482,0))</f>
        <v/>
      </c>
      <c r="N482" s="21">
        <f>SUMPRODUCT(MAX((Брони!$B$2:$B$500=B482)*((Брони!$F$2:$F$500="Выдана")+(Брони!$F$2:$F$500="Возвращена"))*(Брони!$D$2:$D$500&lt;=A482)*Брони!$D$2:$D$500))</f>
        <v/>
      </c>
      <c r="O482" s="19">
        <f>SUMPRODUCT((Брони!$B$2:$B$500=B482)*(Брони!$D$2:$D$500=N482)*((((Брони!$F$2:$F$500="Выдана")*NOW())+((Брони!$F$2:$F$500="Возвращена")*Брони!$E$2:$E$500))&gt;=A482)*Брони!$A$2:$A$500)</f>
        <v/>
      </c>
      <c r="P482" s="19">
        <f>SUMPRODUCT((Брони!$B$2:$B$500=B482)*(Брони!$D$2:$D$500=N482)*(((Брони!$F$2:$F$500="Выдана")+(Брони!$F$2:$F$500="Возвращена"))))</f>
        <v/>
      </c>
      <c r="Q482" s="10" t="n"/>
    </row>
    <row r="483">
      <c r="A483" s="11" t="n"/>
      <c r="B483" s="10" t="n"/>
      <c r="C483" s="10" t="n"/>
      <c r="D483" s="14" t="n"/>
      <c r="E483" s="10" t="n"/>
      <c r="F483" s="20">
        <f>IF(OR(A483="",B483=""),"",IF(OR(NOT(ISNUMBER(A483)),ISERROR(N483+O483+P483)),"Проверьте даты",IF(AND(N483&gt;0,P483&gt;1),"Дубль",IF(AND(N483&gt;0,O483&gt;0),O483,"Вне аренды"))))</f>
        <v/>
      </c>
      <c r="G483" s="12">
        <f>IF(ISNUMBER(F483),IFERROR(INDEX(Брони!$C$2:$C$500,MATCH(F483,Брони!$A$2:$A$500,0)),""),"")</f>
        <v/>
      </c>
      <c r="H483" s="10" t="n"/>
      <c r="I483" s="18" t="n"/>
      <c r="J483" s="12">
        <f>IF(AND(ISNUMBER(F483),I483&lt;&gt;""),IFERROR(IF(AND(INDEX(Брони!$F$2:$F$500,MATCH(F483,Брони!$A$2:$A$500,0))="Возвращена",I483&gt;INDEX(Брони!$E$2:$E$500,MATCH(F483,Брони!$A$2:$A$500,0))),"Да",""),""),"")</f>
        <v/>
      </c>
      <c r="K483" s="10" t="n"/>
      <c r="L483" s="14" t="n"/>
      <c r="M483" s="15">
        <f>IF(OR(A483="",B483=""),"",IF(AND(ISNUMBER(F483),H483&lt;&gt;"Компания"),D483+L483,0))</f>
        <v/>
      </c>
      <c r="N483" s="21">
        <f>SUMPRODUCT(MAX((Брони!$B$2:$B$500=B483)*((Брони!$F$2:$F$500="Выдана")+(Брони!$F$2:$F$500="Возвращена"))*(Брони!$D$2:$D$500&lt;=A483)*Брони!$D$2:$D$500))</f>
        <v/>
      </c>
      <c r="O483" s="19">
        <f>SUMPRODUCT((Брони!$B$2:$B$500=B483)*(Брони!$D$2:$D$500=N483)*((((Брони!$F$2:$F$500="Выдана")*NOW())+((Брони!$F$2:$F$500="Возвращена")*Брони!$E$2:$E$500))&gt;=A483)*Брони!$A$2:$A$500)</f>
        <v/>
      </c>
      <c r="P483" s="19">
        <f>SUMPRODUCT((Брони!$B$2:$B$500=B483)*(Брони!$D$2:$D$500=N483)*(((Брони!$F$2:$F$500="Выдана")+(Брони!$F$2:$F$500="Возвращена"))))</f>
        <v/>
      </c>
      <c r="Q483" s="10" t="n"/>
    </row>
    <row r="484">
      <c r="A484" s="11" t="n"/>
      <c r="B484" s="10" t="n"/>
      <c r="C484" s="10" t="n"/>
      <c r="D484" s="14" t="n"/>
      <c r="E484" s="10" t="n"/>
      <c r="F484" s="20">
        <f>IF(OR(A484="",B484=""),"",IF(OR(NOT(ISNUMBER(A484)),ISERROR(N484+O484+P484)),"Проверьте даты",IF(AND(N484&gt;0,P484&gt;1),"Дубль",IF(AND(N484&gt;0,O484&gt;0),O484,"Вне аренды"))))</f>
        <v/>
      </c>
      <c r="G484" s="12">
        <f>IF(ISNUMBER(F484),IFERROR(INDEX(Брони!$C$2:$C$500,MATCH(F484,Брони!$A$2:$A$500,0)),""),"")</f>
        <v/>
      </c>
      <c r="H484" s="10" t="n"/>
      <c r="I484" s="18" t="n"/>
      <c r="J484" s="12">
        <f>IF(AND(ISNUMBER(F484),I484&lt;&gt;""),IFERROR(IF(AND(INDEX(Брони!$F$2:$F$500,MATCH(F484,Брони!$A$2:$A$500,0))="Возвращена",I484&gt;INDEX(Брони!$E$2:$E$500,MATCH(F484,Брони!$A$2:$A$500,0))),"Да",""),""),"")</f>
        <v/>
      </c>
      <c r="K484" s="10" t="n"/>
      <c r="L484" s="14" t="n"/>
      <c r="M484" s="15">
        <f>IF(OR(A484="",B484=""),"",IF(AND(ISNUMBER(F484),H484&lt;&gt;"Компания"),D484+L484,0))</f>
        <v/>
      </c>
      <c r="N484" s="21">
        <f>SUMPRODUCT(MAX((Брони!$B$2:$B$500=B484)*((Брони!$F$2:$F$500="Выдана")+(Брони!$F$2:$F$500="Возвращена"))*(Брони!$D$2:$D$500&lt;=A484)*Брони!$D$2:$D$500))</f>
        <v/>
      </c>
      <c r="O484" s="19">
        <f>SUMPRODUCT((Брони!$B$2:$B$500=B484)*(Брони!$D$2:$D$500=N484)*((((Брони!$F$2:$F$500="Выдана")*NOW())+((Брони!$F$2:$F$500="Возвращена")*Брони!$E$2:$E$500))&gt;=A484)*Брони!$A$2:$A$500)</f>
        <v/>
      </c>
      <c r="P484" s="19">
        <f>SUMPRODUCT((Брони!$B$2:$B$500=B484)*(Брони!$D$2:$D$500=N484)*(((Брони!$F$2:$F$500="Выдана")+(Брони!$F$2:$F$500="Возвращена"))))</f>
        <v/>
      </c>
      <c r="Q484" s="10" t="n"/>
    </row>
    <row r="485">
      <c r="A485" s="11" t="n"/>
      <c r="B485" s="10" t="n"/>
      <c r="C485" s="10" t="n"/>
      <c r="D485" s="14" t="n"/>
      <c r="E485" s="10" t="n"/>
      <c r="F485" s="20">
        <f>IF(OR(A485="",B485=""),"",IF(OR(NOT(ISNUMBER(A485)),ISERROR(N485+O485+P485)),"Проверьте даты",IF(AND(N485&gt;0,P485&gt;1),"Дубль",IF(AND(N485&gt;0,O485&gt;0),O485,"Вне аренды"))))</f>
        <v/>
      </c>
      <c r="G485" s="12">
        <f>IF(ISNUMBER(F485),IFERROR(INDEX(Брони!$C$2:$C$500,MATCH(F485,Брони!$A$2:$A$500,0)),""),"")</f>
        <v/>
      </c>
      <c r="H485" s="10" t="n"/>
      <c r="I485" s="18" t="n"/>
      <c r="J485" s="12">
        <f>IF(AND(ISNUMBER(F485),I485&lt;&gt;""),IFERROR(IF(AND(INDEX(Брони!$F$2:$F$500,MATCH(F485,Брони!$A$2:$A$500,0))="Возвращена",I485&gt;INDEX(Брони!$E$2:$E$500,MATCH(F485,Брони!$A$2:$A$500,0))),"Да",""),""),"")</f>
        <v/>
      </c>
      <c r="K485" s="10" t="n"/>
      <c r="L485" s="14" t="n"/>
      <c r="M485" s="15">
        <f>IF(OR(A485="",B485=""),"",IF(AND(ISNUMBER(F485),H485&lt;&gt;"Компания"),D485+L485,0))</f>
        <v/>
      </c>
      <c r="N485" s="21">
        <f>SUMPRODUCT(MAX((Брони!$B$2:$B$500=B485)*((Брони!$F$2:$F$500="Выдана")+(Брони!$F$2:$F$500="Возвращена"))*(Брони!$D$2:$D$500&lt;=A485)*Брони!$D$2:$D$500))</f>
        <v/>
      </c>
      <c r="O485" s="19">
        <f>SUMPRODUCT((Брони!$B$2:$B$500=B485)*(Брони!$D$2:$D$500=N485)*((((Брони!$F$2:$F$500="Выдана")*NOW())+((Брони!$F$2:$F$500="Возвращена")*Брони!$E$2:$E$500))&gt;=A485)*Брони!$A$2:$A$500)</f>
        <v/>
      </c>
      <c r="P485" s="19">
        <f>SUMPRODUCT((Брони!$B$2:$B$500=B485)*(Брони!$D$2:$D$500=N485)*(((Брони!$F$2:$F$500="Выдана")+(Брони!$F$2:$F$500="Возвращена"))))</f>
        <v/>
      </c>
      <c r="Q485" s="10" t="n"/>
    </row>
    <row r="486">
      <c r="A486" s="11" t="n"/>
      <c r="B486" s="10" t="n"/>
      <c r="C486" s="10" t="n"/>
      <c r="D486" s="14" t="n"/>
      <c r="E486" s="10" t="n"/>
      <c r="F486" s="20">
        <f>IF(OR(A486="",B486=""),"",IF(OR(NOT(ISNUMBER(A486)),ISERROR(N486+O486+P486)),"Проверьте даты",IF(AND(N486&gt;0,P486&gt;1),"Дубль",IF(AND(N486&gt;0,O486&gt;0),O486,"Вне аренды"))))</f>
        <v/>
      </c>
      <c r="G486" s="12">
        <f>IF(ISNUMBER(F486),IFERROR(INDEX(Брони!$C$2:$C$500,MATCH(F486,Брони!$A$2:$A$500,0)),""),"")</f>
        <v/>
      </c>
      <c r="H486" s="10" t="n"/>
      <c r="I486" s="18" t="n"/>
      <c r="J486" s="12">
        <f>IF(AND(ISNUMBER(F486),I486&lt;&gt;""),IFERROR(IF(AND(INDEX(Брони!$F$2:$F$500,MATCH(F486,Брони!$A$2:$A$500,0))="Возвращена",I486&gt;INDEX(Брони!$E$2:$E$500,MATCH(F486,Брони!$A$2:$A$500,0))),"Да",""),""),"")</f>
        <v/>
      </c>
      <c r="K486" s="10" t="n"/>
      <c r="L486" s="14" t="n"/>
      <c r="M486" s="15">
        <f>IF(OR(A486="",B486=""),"",IF(AND(ISNUMBER(F486),H486&lt;&gt;"Компания"),D486+L486,0))</f>
        <v/>
      </c>
      <c r="N486" s="21">
        <f>SUMPRODUCT(MAX((Брони!$B$2:$B$500=B486)*((Брони!$F$2:$F$500="Выдана")+(Брони!$F$2:$F$500="Возвращена"))*(Брони!$D$2:$D$500&lt;=A486)*Брони!$D$2:$D$500))</f>
        <v/>
      </c>
      <c r="O486" s="19">
        <f>SUMPRODUCT((Брони!$B$2:$B$500=B486)*(Брони!$D$2:$D$500=N486)*((((Брони!$F$2:$F$500="Выдана")*NOW())+((Брони!$F$2:$F$500="Возвращена")*Брони!$E$2:$E$500))&gt;=A486)*Брони!$A$2:$A$500)</f>
        <v/>
      </c>
      <c r="P486" s="19">
        <f>SUMPRODUCT((Брони!$B$2:$B$500=B486)*(Брони!$D$2:$D$500=N486)*(((Брони!$F$2:$F$500="Выдана")+(Брони!$F$2:$F$500="Возвращена"))))</f>
        <v/>
      </c>
      <c r="Q486" s="10" t="n"/>
    </row>
    <row r="487">
      <c r="A487" s="11" t="n"/>
      <c r="B487" s="10" t="n"/>
      <c r="C487" s="10" t="n"/>
      <c r="D487" s="14" t="n"/>
      <c r="E487" s="10" t="n"/>
      <c r="F487" s="20">
        <f>IF(OR(A487="",B487=""),"",IF(OR(NOT(ISNUMBER(A487)),ISERROR(N487+O487+P487)),"Проверьте даты",IF(AND(N487&gt;0,P487&gt;1),"Дубль",IF(AND(N487&gt;0,O487&gt;0),O487,"Вне аренды"))))</f>
        <v/>
      </c>
      <c r="G487" s="12">
        <f>IF(ISNUMBER(F487),IFERROR(INDEX(Брони!$C$2:$C$500,MATCH(F487,Брони!$A$2:$A$500,0)),""),"")</f>
        <v/>
      </c>
      <c r="H487" s="10" t="n"/>
      <c r="I487" s="18" t="n"/>
      <c r="J487" s="12">
        <f>IF(AND(ISNUMBER(F487),I487&lt;&gt;""),IFERROR(IF(AND(INDEX(Брони!$F$2:$F$500,MATCH(F487,Брони!$A$2:$A$500,0))="Возвращена",I487&gt;INDEX(Брони!$E$2:$E$500,MATCH(F487,Брони!$A$2:$A$500,0))),"Да",""),""),"")</f>
        <v/>
      </c>
      <c r="K487" s="10" t="n"/>
      <c r="L487" s="14" t="n"/>
      <c r="M487" s="15">
        <f>IF(OR(A487="",B487=""),"",IF(AND(ISNUMBER(F487),H487&lt;&gt;"Компания"),D487+L487,0))</f>
        <v/>
      </c>
      <c r="N487" s="21">
        <f>SUMPRODUCT(MAX((Брони!$B$2:$B$500=B487)*((Брони!$F$2:$F$500="Выдана")+(Брони!$F$2:$F$500="Возвращена"))*(Брони!$D$2:$D$500&lt;=A487)*Брони!$D$2:$D$500))</f>
        <v/>
      </c>
      <c r="O487" s="19">
        <f>SUMPRODUCT((Брони!$B$2:$B$500=B487)*(Брони!$D$2:$D$500=N487)*((((Брони!$F$2:$F$500="Выдана")*NOW())+((Брони!$F$2:$F$500="Возвращена")*Брони!$E$2:$E$500))&gt;=A487)*Брони!$A$2:$A$500)</f>
        <v/>
      </c>
      <c r="P487" s="19">
        <f>SUMPRODUCT((Брони!$B$2:$B$500=B487)*(Брони!$D$2:$D$500=N487)*(((Брони!$F$2:$F$500="Выдана")+(Брони!$F$2:$F$500="Возвращена"))))</f>
        <v/>
      </c>
      <c r="Q487" s="10" t="n"/>
    </row>
    <row r="488">
      <c r="A488" s="11" t="n"/>
      <c r="B488" s="10" t="n"/>
      <c r="C488" s="10" t="n"/>
      <c r="D488" s="14" t="n"/>
      <c r="E488" s="10" t="n"/>
      <c r="F488" s="20">
        <f>IF(OR(A488="",B488=""),"",IF(OR(NOT(ISNUMBER(A488)),ISERROR(N488+O488+P488)),"Проверьте даты",IF(AND(N488&gt;0,P488&gt;1),"Дубль",IF(AND(N488&gt;0,O488&gt;0),O488,"Вне аренды"))))</f>
        <v/>
      </c>
      <c r="G488" s="12">
        <f>IF(ISNUMBER(F488),IFERROR(INDEX(Брони!$C$2:$C$500,MATCH(F488,Брони!$A$2:$A$500,0)),""),"")</f>
        <v/>
      </c>
      <c r="H488" s="10" t="n"/>
      <c r="I488" s="18" t="n"/>
      <c r="J488" s="12">
        <f>IF(AND(ISNUMBER(F488),I488&lt;&gt;""),IFERROR(IF(AND(INDEX(Брони!$F$2:$F$500,MATCH(F488,Брони!$A$2:$A$500,0))="Возвращена",I488&gt;INDEX(Брони!$E$2:$E$500,MATCH(F488,Брони!$A$2:$A$500,0))),"Да",""),""),"")</f>
        <v/>
      </c>
      <c r="K488" s="10" t="n"/>
      <c r="L488" s="14" t="n"/>
      <c r="M488" s="15">
        <f>IF(OR(A488="",B488=""),"",IF(AND(ISNUMBER(F488),H488&lt;&gt;"Компания"),D488+L488,0))</f>
        <v/>
      </c>
      <c r="N488" s="21">
        <f>SUMPRODUCT(MAX((Брони!$B$2:$B$500=B488)*((Брони!$F$2:$F$500="Выдана")+(Брони!$F$2:$F$500="Возвращена"))*(Брони!$D$2:$D$500&lt;=A488)*Брони!$D$2:$D$500))</f>
        <v/>
      </c>
      <c r="O488" s="19">
        <f>SUMPRODUCT((Брони!$B$2:$B$500=B488)*(Брони!$D$2:$D$500=N488)*((((Брони!$F$2:$F$500="Выдана")*NOW())+((Брони!$F$2:$F$500="Возвращена")*Брони!$E$2:$E$500))&gt;=A488)*Брони!$A$2:$A$500)</f>
        <v/>
      </c>
      <c r="P488" s="19">
        <f>SUMPRODUCT((Брони!$B$2:$B$500=B488)*(Брони!$D$2:$D$500=N488)*(((Брони!$F$2:$F$500="Выдана")+(Брони!$F$2:$F$500="Возвращена"))))</f>
        <v/>
      </c>
      <c r="Q488" s="10" t="n"/>
    </row>
    <row r="489">
      <c r="A489" s="11" t="n"/>
      <c r="B489" s="10" t="n"/>
      <c r="C489" s="10" t="n"/>
      <c r="D489" s="14" t="n"/>
      <c r="E489" s="10" t="n"/>
      <c r="F489" s="20">
        <f>IF(OR(A489="",B489=""),"",IF(OR(NOT(ISNUMBER(A489)),ISERROR(N489+O489+P489)),"Проверьте даты",IF(AND(N489&gt;0,P489&gt;1),"Дубль",IF(AND(N489&gt;0,O489&gt;0),O489,"Вне аренды"))))</f>
        <v/>
      </c>
      <c r="G489" s="12">
        <f>IF(ISNUMBER(F489),IFERROR(INDEX(Брони!$C$2:$C$500,MATCH(F489,Брони!$A$2:$A$500,0)),""),"")</f>
        <v/>
      </c>
      <c r="H489" s="10" t="n"/>
      <c r="I489" s="18" t="n"/>
      <c r="J489" s="12">
        <f>IF(AND(ISNUMBER(F489),I489&lt;&gt;""),IFERROR(IF(AND(INDEX(Брони!$F$2:$F$500,MATCH(F489,Брони!$A$2:$A$500,0))="Возвращена",I489&gt;INDEX(Брони!$E$2:$E$500,MATCH(F489,Брони!$A$2:$A$500,0))),"Да",""),""),"")</f>
        <v/>
      </c>
      <c r="K489" s="10" t="n"/>
      <c r="L489" s="14" t="n"/>
      <c r="M489" s="15">
        <f>IF(OR(A489="",B489=""),"",IF(AND(ISNUMBER(F489),H489&lt;&gt;"Компания"),D489+L489,0))</f>
        <v/>
      </c>
      <c r="N489" s="21">
        <f>SUMPRODUCT(MAX((Брони!$B$2:$B$500=B489)*((Брони!$F$2:$F$500="Выдана")+(Брони!$F$2:$F$500="Возвращена"))*(Брони!$D$2:$D$500&lt;=A489)*Брони!$D$2:$D$500))</f>
        <v/>
      </c>
      <c r="O489" s="19">
        <f>SUMPRODUCT((Брони!$B$2:$B$500=B489)*(Брони!$D$2:$D$500=N489)*((((Брони!$F$2:$F$500="Выдана")*NOW())+((Брони!$F$2:$F$500="Возвращена")*Брони!$E$2:$E$500))&gt;=A489)*Брони!$A$2:$A$500)</f>
        <v/>
      </c>
      <c r="P489" s="19">
        <f>SUMPRODUCT((Брони!$B$2:$B$500=B489)*(Брони!$D$2:$D$500=N489)*(((Брони!$F$2:$F$500="Выдана")+(Брони!$F$2:$F$500="Возвращена"))))</f>
        <v/>
      </c>
      <c r="Q489" s="10" t="n"/>
    </row>
    <row r="490">
      <c r="A490" s="11" t="n"/>
      <c r="B490" s="10" t="n"/>
      <c r="C490" s="10" t="n"/>
      <c r="D490" s="14" t="n"/>
      <c r="E490" s="10" t="n"/>
      <c r="F490" s="20">
        <f>IF(OR(A490="",B490=""),"",IF(OR(NOT(ISNUMBER(A490)),ISERROR(N490+O490+P490)),"Проверьте даты",IF(AND(N490&gt;0,P490&gt;1),"Дубль",IF(AND(N490&gt;0,O490&gt;0),O490,"Вне аренды"))))</f>
        <v/>
      </c>
      <c r="G490" s="12">
        <f>IF(ISNUMBER(F490),IFERROR(INDEX(Брони!$C$2:$C$500,MATCH(F490,Брони!$A$2:$A$500,0)),""),"")</f>
        <v/>
      </c>
      <c r="H490" s="10" t="n"/>
      <c r="I490" s="18" t="n"/>
      <c r="J490" s="12">
        <f>IF(AND(ISNUMBER(F490),I490&lt;&gt;""),IFERROR(IF(AND(INDEX(Брони!$F$2:$F$500,MATCH(F490,Брони!$A$2:$A$500,0))="Возвращена",I490&gt;INDEX(Брони!$E$2:$E$500,MATCH(F490,Брони!$A$2:$A$500,0))),"Да",""),""),"")</f>
        <v/>
      </c>
      <c r="K490" s="10" t="n"/>
      <c r="L490" s="14" t="n"/>
      <c r="M490" s="15">
        <f>IF(OR(A490="",B490=""),"",IF(AND(ISNUMBER(F490),H490&lt;&gt;"Компания"),D490+L490,0))</f>
        <v/>
      </c>
      <c r="N490" s="21">
        <f>SUMPRODUCT(MAX((Брони!$B$2:$B$500=B490)*((Брони!$F$2:$F$500="Выдана")+(Брони!$F$2:$F$500="Возвращена"))*(Брони!$D$2:$D$500&lt;=A490)*Брони!$D$2:$D$500))</f>
        <v/>
      </c>
      <c r="O490" s="19">
        <f>SUMPRODUCT((Брони!$B$2:$B$500=B490)*(Брони!$D$2:$D$500=N490)*((((Брони!$F$2:$F$500="Выдана")*NOW())+((Брони!$F$2:$F$500="Возвращена")*Брони!$E$2:$E$500))&gt;=A490)*Брони!$A$2:$A$500)</f>
        <v/>
      </c>
      <c r="P490" s="19">
        <f>SUMPRODUCT((Брони!$B$2:$B$500=B490)*(Брони!$D$2:$D$500=N490)*(((Брони!$F$2:$F$500="Выдана")+(Брони!$F$2:$F$500="Возвращена"))))</f>
        <v/>
      </c>
      <c r="Q490" s="10" t="n"/>
    </row>
    <row r="491">
      <c r="A491" s="11" t="n"/>
      <c r="B491" s="10" t="n"/>
      <c r="C491" s="10" t="n"/>
      <c r="D491" s="14" t="n"/>
      <c r="E491" s="10" t="n"/>
      <c r="F491" s="20">
        <f>IF(OR(A491="",B491=""),"",IF(OR(NOT(ISNUMBER(A491)),ISERROR(N491+O491+P491)),"Проверьте даты",IF(AND(N491&gt;0,P491&gt;1),"Дубль",IF(AND(N491&gt;0,O491&gt;0),O491,"Вне аренды"))))</f>
        <v/>
      </c>
      <c r="G491" s="12">
        <f>IF(ISNUMBER(F491),IFERROR(INDEX(Брони!$C$2:$C$500,MATCH(F491,Брони!$A$2:$A$500,0)),""),"")</f>
        <v/>
      </c>
      <c r="H491" s="10" t="n"/>
      <c r="I491" s="18" t="n"/>
      <c r="J491" s="12">
        <f>IF(AND(ISNUMBER(F491),I491&lt;&gt;""),IFERROR(IF(AND(INDEX(Брони!$F$2:$F$500,MATCH(F491,Брони!$A$2:$A$500,0))="Возвращена",I491&gt;INDEX(Брони!$E$2:$E$500,MATCH(F491,Брони!$A$2:$A$500,0))),"Да",""),""),"")</f>
        <v/>
      </c>
      <c r="K491" s="10" t="n"/>
      <c r="L491" s="14" t="n"/>
      <c r="M491" s="15">
        <f>IF(OR(A491="",B491=""),"",IF(AND(ISNUMBER(F491),H491&lt;&gt;"Компания"),D491+L491,0))</f>
        <v/>
      </c>
      <c r="N491" s="21">
        <f>SUMPRODUCT(MAX((Брони!$B$2:$B$500=B491)*((Брони!$F$2:$F$500="Выдана")+(Брони!$F$2:$F$500="Возвращена"))*(Брони!$D$2:$D$500&lt;=A491)*Брони!$D$2:$D$500))</f>
        <v/>
      </c>
      <c r="O491" s="19">
        <f>SUMPRODUCT((Брони!$B$2:$B$500=B491)*(Брони!$D$2:$D$500=N491)*((((Брони!$F$2:$F$500="Выдана")*NOW())+((Брони!$F$2:$F$500="Возвращена")*Брони!$E$2:$E$500))&gt;=A491)*Брони!$A$2:$A$500)</f>
        <v/>
      </c>
      <c r="P491" s="19">
        <f>SUMPRODUCT((Брони!$B$2:$B$500=B491)*(Брони!$D$2:$D$500=N491)*(((Брони!$F$2:$F$500="Выдана")+(Брони!$F$2:$F$500="Возвращена"))))</f>
        <v/>
      </c>
      <c r="Q491" s="10" t="n"/>
    </row>
    <row r="492">
      <c r="A492" s="11" t="n"/>
      <c r="B492" s="10" t="n"/>
      <c r="C492" s="10" t="n"/>
      <c r="D492" s="14" t="n"/>
      <c r="E492" s="10" t="n"/>
      <c r="F492" s="20">
        <f>IF(OR(A492="",B492=""),"",IF(OR(NOT(ISNUMBER(A492)),ISERROR(N492+O492+P492)),"Проверьте даты",IF(AND(N492&gt;0,P492&gt;1),"Дубль",IF(AND(N492&gt;0,O492&gt;0),O492,"Вне аренды"))))</f>
        <v/>
      </c>
      <c r="G492" s="12">
        <f>IF(ISNUMBER(F492),IFERROR(INDEX(Брони!$C$2:$C$500,MATCH(F492,Брони!$A$2:$A$500,0)),""),"")</f>
        <v/>
      </c>
      <c r="H492" s="10" t="n"/>
      <c r="I492" s="18" t="n"/>
      <c r="J492" s="12">
        <f>IF(AND(ISNUMBER(F492),I492&lt;&gt;""),IFERROR(IF(AND(INDEX(Брони!$F$2:$F$500,MATCH(F492,Брони!$A$2:$A$500,0))="Возвращена",I492&gt;INDEX(Брони!$E$2:$E$500,MATCH(F492,Брони!$A$2:$A$500,0))),"Да",""),""),"")</f>
        <v/>
      </c>
      <c r="K492" s="10" t="n"/>
      <c r="L492" s="14" t="n"/>
      <c r="M492" s="15">
        <f>IF(OR(A492="",B492=""),"",IF(AND(ISNUMBER(F492),H492&lt;&gt;"Компания"),D492+L492,0))</f>
        <v/>
      </c>
      <c r="N492" s="21">
        <f>SUMPRODUCT(MAX((Брони!$B$2:$B$500=B492)*((Брони!$F$2:$F$500="Выдана")+(Брони!$F$2:$F$500="Возвращена"))*(Брони!$D$2:$D$500&lt;=A492)*Брони!$D$2:$D$500))</f>
        <v/>
      </c>
      <c r="O492" s="19">
        <f>SUMPRODUCT((Брони!$B$2:$B$500=B492)*(Брони!$D$2:$D$500=N492)*((((Брони!$F$2:$F$500="Выдана")*NOW())+((Брони!$F$2:$F$500="Возвращена")*Брони!$E$2:$E$500))&gt;=A492)*Брони!$A$2:$A$500)</f>
        <v/>
      </c>
      <c r="P492" s="19">
        <f>SUMPRODUCT((Брони!$B$2:$B$500=B492)*(Брони!$D$2:$D$500=N492)*(((Брони!$F$2:$F$500="Выдана")+(Брони!$F$2:$F$500="Возвращена"))))</f>
        <v/>
      </c>
      <c r="Q492" s="10" t="n"/>
    </row>
    <row r="493">
      <c r="A493" s="11" t="n"/>
      <c r="B493" s="10" t="n"/>
      <c r="C493" s="10" t="n"/>
      <c r="D493" s="14" t="n"/>
      <c r="E493" s="10" t="n"/>
      <c r="F493" s="20">
        <f>IF(OR(A493="",B493=""),"",IF(OR(NOT(ISNUMBER(A493)),ISERROR(N493+O493+P493)),"Проверьте даты",IF(AND(N493&gt;0,P493&gt;1),"Дубль",IF(AND(N493&gt;0,O493&gt;0),O493,"Вне аренды"))))</f>
        <v/>
      </c>
      <c r="G493" s="12">
        <f>IF(ISNUMBER(F493),IFERROR(INDEX(Брони!$C$2:$C$500,MATCH(F493,Брони!$A$2:$A$500,0)),""),"")</f>
        <v/>
      </c>
      <c r="H493" s="10" t="n"/>
      <c r="I493" s="18" t="n"/>
      <c r="J493" s="12">
        <f>IF(AND(ISNUMBER(F493),I493&lt;&gt;""),IFERROR(IF(AND(INDEX(Брони!$F$2:$F$500,MATCH(F493,Брони!$A$2:$A$500,0))="Возвращена",I493&gt;INDEX(Брони!$E$2:$E$500,MATCH(F493,Брони!$A$2:$A$500,0))),"Да",""),""),"")</f>
        <v/>
      </c>
      <c r="K493" s="10" t="n"/>
      <c r="L493" s="14" t="n"/>
      <c r="M493" s="15">
        <f>IF(OR(A493="",B493=""),"",IF(AND(ISNUMBER(F493),H493&lt;&gt;"Компания"),D493+L493,0))</f>
        <v/>
      </c>
      <c r="N493" s="21">
        <f>SUMPRODUCT(MAX((Брони!$B$2:$B$500=B493)*((Брони!$F$2:$F$500="Выдана")+(Брони!$F$2:$F$500="Возвращена"))*(Брони!$D$2:$D$500&lt;=A493)*Брони!$D$2:$D$500))</f>
        <v/>
      </c>
      <c r="O493" s="19">
        <f>SUMPRODUCT((Брони!$B$2:$B$500=B493)*(Брони!$D$2:$D$500=N493)*((((Брони!$F$2:$F$500="Выдана")*NOW())+((Брони!$F$2:$F$500="Возвращена")*Брони!$E$2:$E$500))&gt;=A493)*Брони!$A$2:$A$500)</f>
        <v/>
      </c>
      <c r="P493" s="19">
        <f>SUMPRODUCT((Брони!$B$2:$B$500=B493)*(Брони!$D$2:$D$500=N493)*(((Брони!$F$2:$F$500="Выдана")+(Брони!$F$2:$F$500="Возвращена"))))</f>
        <v/>
      </c>
      <c r="Q493" s="10" t="n"/>
    </row>
    <row r="494">
      <c r="A494" s="11" t="n"/>
      <c r="B494" s="10" t="n"/>
      <c r="C494" s="10" t="n"/>
      <c r="D494" s="14" t="n"/>
      <c r="E494" s="10" t="n"/>
      <c r="F494" s="20">
        <f>IF(OR(A494="",B494=""),"",IF(OR(NOT(ISNUMBER(A494)),ISERROR(N494+O494+P494)),"Проверьте даты",IF(AND(N494&gt;0,P494&gt;1),"Дубль",IF(AND(N494&gt;0,O494&gt;0),O494,"Вне аренды"))))</f>
        <v/>
      </c>
      <c r="G494" s="12">
        <f>IF(ISNUMBER(F494),IFERROR(INDEX(Брони!$C$2:$C$500,MATCH(F494,Брони!$A$2:$A$500,0)),""),"")</f>
        <v/>
      </c>
      <c r="H494" s="10" t="n"/>
      <c r="I494" s="18" t="n"/>
      <c r="J494" s="12">
        <f>IF(AND(ISNUMBER(F494),I494&lt;&gt;""),IFERROR(IF(AND(INDEX(Брони!$F$2:$F$500,MATCH(F494,Брони!$A$2:$A$500,0))="Возвращена",I494&gt;INDEX(Брони!$E$2:$E$500,MATCH(F494,Брони!$A$2:$A$500,0))),"Да",""),""),"")</f>
        <v/>
      </c>
      <c r="K494" s="10" t="n"/>
      <c r="L494" s="14" t="n"/>
      <c r="M494" s="15">
        <f>IF(OR(A494="",B494=""),"",IF(AND(ISNUMBER(F494),H494&lt;&gt;"Компания"),D494+L494,0))</f>
        <v/>
      </c>
      <c r="N494" s="21">
        <f>SUMPRODUCT(MAX((Брони!$B$2:$B$500=B494)*((Брони!$F$2:$F$500="Выдана")+(Брони!$F$2:$F$500="Возвращена"))*(Брони!$D$2:$D$500&lt;=A494)*Брони!$D$2:$D$500))</f>
        <v/>
      </c>
      <c r="O494" s="19">
        <f>SUMPRODUCT((Брони!$B$2:$B$500=B494)*(Брони!$D$2:$D$500=N494)*((((Брони!$F$2:$F$500="Выдана")*NOW())+((Брони!$F$2:$F$500="Возвращена")*Брони!$E$2:$E$500))&gt;=A494)*Брони!$A$2:$A$500)</f>
        <v/>
      </c>
      <c r="P494" s="19">
        <f>SUMPRODUCT((Брони!$B$2:$B$500=B494)*(Брони!$D$2:$D$500=N494)*(((Брони!$F$2:$F$500="Выдана")+(Брони!$F$2:$F$500="Возвращена"))))</f>
        <v/>
      </c>
      <c r="Q494" s="10" t="n"/>
    </row>
    <row r="495">
      <c r="A495" s="11" t="n"/>
      <c r="B495" s="10" t="n"/>
      <c r="C495" s="10" t="n"/>
      <c r="D495" s="14" t="n"/>
      <c r="E495" s="10" t="n"/>
      <c r="F495" s="20">
        <f>IF(OR(A495="",B495=""),"",IF(OR(NOT(ISNUMBER(A495)),ISERROR(N495+O495+P495)),"Проверьте даты",IF(AND(N495&gt;0,P495&gt;1),"Дубль",IF(AND(N495&gt;0,O495&gt;0),O495,"Вне аренды"))))</f>
        <v/>
      </c>
      <c r="G495" s="12">
        <f>IF(ISNUMBER(F495),IFERROR(INDEX(Брони!$C$2:$C$500,MATCH(F495,Брони!$A$2:$A$500,0)),""),"")</f>
        <v/>
      </c>
      <c r="H495" s="10" t="n"/>
      <c r="I495" s="18" t="n"/>
      <c r="J495" s="12">
        <f>IF(AND(ISNUMBER(F495),I495&lt;&gt;""),IFERROR(IF(AND(INDEX(Брони!$F$2:$F$500,MATCH(F495,Брони!$A$2:$A$500,0))="Возвращена",I495&gt;INDEX(Брони!$E$2:$E$500,MATCH(F495,Брони!$A$2:$A$500,0))),"Да",""),""),"")</f>
        <v/>
      </c>
      <c r="K495" s="10" t="n"/>
      <c r="L495" s="14" t="n"/>
      <c r="M495" s="15">
        <f>IF(OR(A495="",B495=""),"",IF(AND(ISNUMBER(F495),H495&lt;&gt;"Компания"),D495+L495,0))</f>
        <v/>
      </c>
      <c r="N495" s="21">
        <f>SUMPRODUCT(MAX((Брони!$B$2:$B$500=B495)*((Брони!$F$2:$F$500="Выдана")+(Брони!$F$2:$F$500="Возвращена"))*(Брони!$D$2:$D$500&lt;=A495)*Брони!$D$2:$D$500))</f>
        <v/>
      </c>
      <c r="O495" s="19">
        <f>SUMPRODUCT((Брони!$B$2:$B$500=B495)*(Брони!$D$2:$D$500=N495)*((((Брони!$F$2:$F$500="Выдана")*NOW())+((Брони!$F$2:$F$500="Возвращена")*Брони!$E$2:$E$500))&gt;=A495)*Брони!$A$2:$A$500)</f>
        <v/>
      </c>
      <c r="P495" s="19">
        <f>SUMPRODUCT((Брони!$B$2:$B$500=B495)*(Брони!$D$2:$D$500=N495)*(((Брони!$F$2:$F$500="Выдана")+(Брони!$F$2:$F$500="Возвращена"))))</f>
        <v/>
      </c>
      <c r="Q495" s="10" t="n"/>
    </row>
    <row r="496">
      <c r="A496" s="11" t="n"/>
      <c r="B496" s="10" t="n"/>
      <c r="C496" s="10" t="n"/>
      <c r="D496" s="14" t="n"/>
      <c r="E496" s="10" t="n"/>
      <c r="F496" s="20">
        <f>IF(OR(A496="",B496=""),"",IF(OR(NOT(ISNUMBER(A496)),ISERROR(N496+O496+P496)),"Проверьте даты",IF(AND(N496&gt;0,P496&gt;1),"Дубль",IF(AND(N496&gt;0,O496&gt;0),O496,"Вне аренды"))))</f>
        <v/>
      </c>
      <c r="G496" s="12">
        <f>IF(ISNUMBER(F496),IFERROR(INDEX(Брони!$C$2:$C$500,MATCH(F496,Брони!$A$2:$A$500,0)),""),"")</f>
        <v/>
      </c>
      <c r="H496" s="10" t="n"/>
      <c r="I496" s="18" t="n"/>
      <c r="J496" s="12">
        <f>IF(AND(ISNUMBER(F496),I496&lt;&gt;""),IFERROR(IF(AND(INDEX(Брони!$F$2:$F$500,MATCH(F496,Брони!$A$2:$A$500,0))="Возвращена",I496&gt;INDEX(Брони!$E$2:$E$500,MATCH(F496,Брони!$A$2:$A$500,0))),"Да",""),""),"")</f>
        <v/>
      </c>
      <c r="K496" s="10" t="n"/>
      <c r="L496" s="14" t="n"/>
      <c r="M496" s="15">
        <f>IF(OR(A496="",B496=""),"",IF(AND(ISNUMBER(F496),H496&lt;&gt;"Компания"),D496+L496,0))</f>
        <v/>
      </c>
      <c r="N496" s="21">
        <f>SUMPRODUCT(MAX((Брони!$B$2:$B$500=B496)*((Брони!$F$2:$F$500="Выдана")+(Брони!$F$2:$F$500="Возвращена"))*(Брони!$D$2:$D$500&lt;=A496)*Брони!$D$2:$D$500))</f>
        <v/>
      </c>
      <c r="O496" s="19">
        <f>SUMPRODUCT((Брони!$B$2:$B$500=B496)*(Брони!$D$2:$D$500=N496)*((((Брони!$F$2:$F$500="Выдана")*NOW())+((Брони!$F$2:$F$500="Возвращена")*Брони!$E$2:$E$500))&gt;=A496)*Брони!$A$2:$A$500)</f>
        <v/>
      </c>
      <c r="P496" s="19">
        <f>SUMPRODUCT((Брони!$B$2:$B$500=B496)*(Брони!$D$2:$D$500=N496)*(((Брони!$F$2:$F$500="Выдана")+(Брони!$F$2:$F$500="Возвращена"))))</f>
        <v/>
      </c>
      <c r="Q496" s="10" t="n"/>
    </row>
    <row r="497">
      <c r="A497" s="11" t="n"/>
      <c r="B497" s="10" t="n"/>
      <c r="C497" s="10" t="n"/>
      <c r="D497" s="14" t="n"/>
      <c r="E497" s="10" t="n"/>
      <c r="F497" s="20">
        <f>IF(OR(A497="",B497=""),"",IF(OR(NOT(ISNUMBER(A497)),ISERROR(N497+O497+P497)),"Проверьте даты",IF(AND(N497&gt;0,P497&gt;1),"Дубль",IF(AND(N497&gt;0,O497&gt;0),O497,"Вне аренды"))))</f>
        <v/>
      </c>
      <c r="G497" s="12">
        <f>IF(ISNUMBER(F497),IFERROR(INDEX(Брони!$C$2:$C$500,MATCH(F497,Брони!$A$2:$A$500,0)),""),"")</f>
        <v/>
      </c>
      <c r="H497" s="10" t="n"/>
      <c r="I497" s="18" t="n"/>
      <c r="J497" s="12">
        <f>IF(AND(ISNUMBER(F497),I497&lt;&gt;""),IFERROR(IF(AND(INDEX(Брони!$F$2:$F$500,MATCH(F497,Брони!$A$2:$A$500,0))="Возвращена",I497&gt;INDEX(Брони!$E$2:$E$500,MATCH(F497,Брони!$A$2:$A$500,0))),"Да",""),""),"")</f>
        <v/>
      </c>
      <c r="K497" s="10" t="n"/>
      <c r="L497" s="14" t="n"/>
      <c r="M497" s="15">
        <f>IF(OR(A497="",B497=""),"",IF(AND(ISNUMBER(F497),H497&lt;&gt;"Компания"),D497+L497,0))</f>
        <v/>
      </c>
      <c r="N497" s="21">
        <f>SUMPRODUCT(MAX((Брони!$B$2:$B$500=B497)*((Брони!$F$2:$F$500="Выдана")+(Брони!$F$2:$F$500="Возвращена"))*(Брони!$D$2:$D$500&lt;=A497)*Брони!$D$2:$D$500))</f>
        <v/>
      </c>
      <c r="O497" s="19">
        <f>SUMPRODUCT((Брони!$B$2:$B$500=B497)*(Брони!$D$2:$D$500=N497)*((((Брони!$F$2:$F$500="Выдана")*NOW())+((Брони!$F$2:$F$500="Возвращена")*Брони!$E$2:$E$500))&gt;=A497)*Брони!$A$2:$A$500)</f>
        <v/>
      </c>
      <c r="P497" s="19">
        <f>SUMPRODUCT((Брони!$B$2:$B$500=B497)*(Брони!$D$2:$D$500=N497)*(((Брони!$F$2:$F$500="Выдана")+(Брони!$F$2:$F$500="Возвращена"))))</f>
        <v/>
      </c>
      <c r="Q497" s="10" t="n"/>
    </row>
    <row r="498">
      <c r="A498" s="11" t="n"/>
      <c r="B498" s="10" t="n"/>
      <c r="C498" s="10" t="n"/>
      <c r="D498" s="14" t="n"/>
      <c r="E498" s="10" t="n"/>
      <c r="F498" s="20">
        <f>IF(OR(A498="",B498=""),"",IF(OR(NOT(ISNUMBER(A498)),ISERROR(N498+O498+P498)),"Проверьте даты",IF(AND(N498&gt;0,P498&gt;1),"Дубль",IF(AND(N498&gt;0,O498&gt;0),O498,"Вне аренды"))))</f>
        <v/>
      </c>
      <c r="G498" s="12">
        <f>IF(ISNUMBER(F498),IFERROR(INDEX(Брони!$C$2:$C$500,MATCH(F498,Брони!$A$2:$A$500,0)),""),"")</f>
        <v/>
      </c>
      <c r="H498" s="10" t="n"/>
      <c r="I498" s="18" t="n"/>
      <c r="J498" s="12">
        <f>IF(AND(ISNUMBER(F498),I498&lt;&gt;""),IFERROR(IF(AND(INDEX(Брони!$F$2:$F$500,MATCH(F498,Брони!$A$2:$A$500,0))="Возвращена",I498&gt;INDEX(Брони!$E$2:$E$500,MATCH(F498,Брони!$A$2:$A$500,0))),"Да",""),""),"")</f>
        <v/>
      </c>
      <c r="K498" s="10" t="n"/>
      <c r="L498" s="14" t="n"/>
      <c r="M498" s="15">
        <f>IF(OR(A498="",B498=""),"",IF(AND(ISNUMBER(F498),H498&lt;&gt;"Компания"),D498+L498,0))</f>
        <v/>
      </c>
      <c r="N498" s="21">
        <f>SUMPRODUCT(MAX((Брони!$B$2:$B$500=B498)*((Брони!$F$2:$F$500="Выдана")+(Брони!$F$2:$F$500="Возвращена"))*(Брони!$D$2:$D$500&lt;=A498)*Брони!$D$2:$D$500))</f>
        <v/>
      </c>
      <c r="O498" s="19">
        <f>SUMPRODUCT((Брони!$B$2:$B$500=B498)*(Брони!$D$2:$D$500=N498)*((((Брони!$F$2:$F$500="Выдана")*NOW())+((Брони!$F$2:$F$500="Возвращена")*Брони!$E$2:$E$500))&gt;=A498)*Брони!$A$2:$A$500)</f>
        <v/>
      </c>
      <c r="P498" s="19">
        <f>SUMPRODUCT((Брони!$B$2:$B$500=B498)*(Брони!$D$2:$D$500=N498)*(((Брони!$F$2:$F$500="Выдана")+(Брони!$F$2:$F$500="Возвращена"))))</f>
        <v/>
      </c>
      <c r="Q498" s="10" t="n"/>
    </row>
    <row r="499">
      <c r="A499" s="11" t="n"/>
      <c r="B499" s="10" t="n"/>
      <c r="C499" s="10" t="n"/>
      <c r="D499" s="14" t="n"/>
      <c r="E499" s="10" t="n"/>
      <c r="F499" s="20">
        <f>IF(OR(A499="",B499=""),"",IF(OR(NOT(ISNUMBER(A499)),ISERROR(N499+O499+P499)),"Проверьте даты",IF(AND(N499&gt;0,P499&gt;1),"Дубль",IF(AND(N499&gt;0,O499&gt;0),O499,"Вне аренды"))))</f>
        <v/>
      </c>
      <c r="G499" s="12">
        <f>IF(ISNUMBER(F499),IFERROR(INDEX(Брони!$C$2:$C$500,MATCH(F499,Брони!$A$2:$A$500,0)),""),"")</f>
        <v/>
      </c>
      <c r="H499" s="10" t="n"/>
      <c r="I499" s="18" t="n"/>
      <c r="J499" s="12">
        <f>IF(AND(ISNUMBER(F499),I499&lt;&gt;""),IFERROR(IF(AND(INDEX(Брони!$F$2:$F$500,MATCH(F499,Брони!$A$2:$A$500,0))="Возвращена",I499&gt;INDEX(Брони!$E$2:$E$500,MATCH(F499,Брони!$A$2:$A$500,0))),"Да",""),""),"")</f>
        <v/>
      </c>
      <c r="K499" s="10" t="n"/>
      <c r="L499" s="14" t="n"/>
      <c r="M499" s="15">
        <f>IF(OR(A499="",B499=""),"",IF(AND(ISNUMBER(F499),H499&lt;&gt;"Компания"),D499+L499,0))</f>
        <v/>
      </c>
      <c r="N499" s="21">
        <f>SUMPRODUCT(MAX((Брони!$B$2:$B$500=B499)*((Брони!$F$2:$F$500="Выдана")+(Брони!$F$2:$F$500="Возвращена"))*(Брони!$D$2:$D$500&lt;=A499)*Брони!$D$2:$D$500))</f>
        <v/>
      </c>
      <c r="O499" s="19">
        <f>SUMPRODUCT((Брони!$B$2:$B$500=B499)*(Брони!$D$2:$D$500=N499)*((((Брони!$F$2:$F$500="Выдана")*NOW())+((Брони!$F$2:$F$500="Возвращена")*Брони!$E$2:$E$500))&gt;=A499)*Брони!$A$2:$A$500)</f>
        <v/>
      </c>
      <c r="P499" s="19">
        <f>SUMPRODUCT((Брони!$B$2:$B$500=B499)*(Брони!$D$2:$D$500=N499)*(((Брони!$F$2:$F$500="Выдана")+(Брони!$F$2:$F$500="Возвращена"))))</f>
        <v/>
      </c>
      <c r="Q499" s="10" t="n"/>
    </row>
    <row r="500">
      <c r="A500" s="11" t="n"/>
      <c r="B500" s="10" t="n"/>
      <c r="C500" s="10" t="n"/>
      <c r="D500" s="14" t="n"/>
      <c r="E500" s="10" t="n"/>
      <c r="F500" s="20">
        <f>IF(OR(A500="",B500=""),"",IF(OR(NOT(ISNUMBER(A500)),ISERROR(N500+O500+P500)),"Проверьте даты",IF(AND(N500&gt;0,P500&gt;1),"Дубль",IF(AND(N500&gt;0,O500&gt;0),O500,"Вне аренды"))))</f>
        <v/>
      </c>
      <c r="G500" s="12">
        <f>IF(ISNUMBER(F500),IFERROR(INDEX(Брони!$C$2:$C$500,MATCH(F500,Брони!$A$2:$A$500,0)),""),"")</f>
        <v/>
      </c>
      <c r="H500" s="10" t="n"/>
      <c r="I500" s="18" t="n"/>
      <c r="J500" s="12">
        <f>IF(AND(ISNUMBER(F500),I500&lt;&gt;""),IFERROR(IF(AND(INDEX(Брони!$F$2:$F$500,MATCH(F500,Брони!$A$2:$A$500,0))="Возвращена",I500&gt;INDEX(Брони!$E$2:$E$500,MATCH(F500,Брони!$A$2:$A$500,0))),"Да",""),""),"")</f>
        <v/>
      </c>
      <c r="K500" s="10" t="n"/>
      <c r="L500" s="14" t="n"/>
      <c r="M500" s="15">
        <f>IF(OR(A500="",B500=""),"",IF(AND(ISNUMBER(F500),H500&lt;&gt;"Компания"),D500+L500,0))</f>
        <v/>
      </c>
      <c r="N500" s="21">
        <f>SUMPRODUCT(MAX((Брони!$B$2:$B$500=B500)*((Брони!$F$2:$F$500="Выдана")+(Брони!$F$2:$F$500="Возвращена"))*(Брони!$D$2:$D$500&lt;=A500)*Брони!$D$2:$D$500))</f>
        <v/>
      </c>
      <c r="O500" s="19">
        <f>SUMPRODUCT((Брони!$B$2:$B$500=B500)*(Брони!$D$2:$D$500=N500)*((((Брони!$F$2:$F$500="Выдана")*NOW())+((Брони!$F$2:$F$500="Возвращена")*Брони!$E$2:$E$500))&gt;=A500)*Брони!$A$2:$A$500)</f>
        <v/>
      </c>
      <c r="P500" s="19">
        <f>SUMPRODUCT((Брони!$B$2:$B$500=B500)*(Брони!$D$2:$D$500=N500)*(((Брони!$F$2:$F$500="Выдана")+(Брони!$F$2:$F$500="Возвращена"))))</f>
        <v/>
      </c>
      <c r="Q500" s="10" t="n"/>
    </row>
    <row r="501">
      <c r="A501" s="11" t="n"/>
      <c r="B501" s="10" t="n"/>
      <c r="C501" s="10" t="n"/>
      <c r="D501" s="14" t="n"/>
      <c r="E501" s="10" t="n"/>
      <c r="F501" s="20">
        <f>IF(OR(A501="",B501=""),"",IF(OR(NOT(ISNUMBER(A501)),ISERROR(N501+O501+P501)),"Проверьте даты",IF(AND(N501&gt;0,P501&gt;1),"Дубль",IF(AND(N501&gt;0,O501&gt;0),O501,"Вне аренды"))))</f>
        <v/>
      </c>
      <c r="G501" s="12">
        <f>IF(ISNUMBER(F501),IFERROR(INDEX(Брони!$C$2:$C$500,MATCH(F501,Брони!$A$2:$A$500,0)),""),"")</f>
        <v/>
      </c>
      <c r="H501" s="10" t="n"/>
      <c r="I501" s="18" t="n"/>
      <c r="J501" s="12">
        <f>IF(AND(ISNUMBER(F501),I501&lt;&gt;""),IFERROR(IF(AND(INDEX(Брони!$F$2:$F$500,MATCH(F501,Брони!$A$2:$A$500,0))="Возвращена",I501&gt;INDEX(Брони!$E$2:$E$500,MATCH(F501,Брони!$A$2:$A$500,0))),"Да",""),""),"")</f>
        <v/>
      </c>
      <c r="K501" s="10" t="n"/>
      <c r="L501" s="14" t="n"/>
      <c r="M501" s="15">
        <f>IF(OR(A501="",B501=""),"",IF(AND(ISNUMBER(F501),H501&lt;&gt;"Компания"),D501+L501,0))</f>
        <v/>
      </c>
      <c r="N501" s="21">
        <f>SUMPRODUCT(MAX((Брони!$B$2:$B$500=B501)*((Брони!$F$2:$F$500="Выдана")+(Брони!$F$2:$F$500="Возвращена"))*(Брони!$D$2:$D$500&lt;=A501)*Брони!$D$2:$D$500))</f>
        <v/>
      </c>
      <c r="O501" s="19">
        <f>SUMPRODUCT((Брони!$B$2:$B$500=B501)*(Брони!$D$2:$D$500=N501)*((((Брони!$F$2:$F$500="Выдана")*NOW())+((Брони!$F$2:$F$500="Возвращена")*Брони!$E$2:$E$500))&gt;=A501)*Брони!$A$2:$A$500)</f>
        <v/>
      </c>
      <c r="P501" s="19">
        <f>SUMPRODUCT((Брони!$B$2:$B$500=B501)*(Брони!$D$2:$D$500=N501)*(((Брони!$F$2:$F$500="Выдана")+(Брони!$F$2:$F$500="Возвращена"))))</f>
        <v/>
      </c>
      <c r="Q501" s="10" t="n"/>
    </row>
    <row r="502">
      <c r="A502" s="11" t="n"/>
      <c r="B502" s="10" t="n"/>
      <c r="C502" s="10" t="n"/>
      <c r="D502" s="14" t="n"/>
      <c r="E502" s="10" t="n"/>
      <c r="F502" s="20">
        <f>IF(OR(A502="",B502=""),"",IF(OR(NOT(ISNUMBER(A502)),ISERROR(N502+O502+P502)),"Проверьте даты",IF(AND(N502&gt;0,P502&gt;1),"Дубль",IF(AND(N502&gt;0,O502&gt;0),O502,"Вне аренды"))))</f>
        <v/>
      </c>
      <c r="G502" s="12">
        <f>IF(ISNUMBER(F502),IFERROR(INDEX(Брони!$C$2:$C$500,MATCH(F502,Брони!$A$2:$A$500,0)),""),"")</f>
        <v/>
      </c>
      <c r="H502" s="10" t="n"/>
      <c r="I502" s="18" t="n"/>
      <c r="J502" s="12">
        <f>IF(AND(ISNUMBER(F502),I502&lt;&gt;""),IFERROR(IF(AND(INDEX(Брони!$F$2:$F$500,MATCH(F502,Брони!$A$2:$A$500,0))="Возвращена",I502&gt;INDEX(Брони!$E$2:$E$500,MATCH(F502,Брони!$A$2:$A$500,0))),"Да",""),""),"")</f>
        <v/>
      </c>
      <c r="K502" s="10" t="n"/>
      <c r="L502" s="14" t="n"/>
      <c r="M502" s="15">
        <f>IF(OR(A502="",B502=""),"",IF(AND(ISNUMBER(F502),H502&lt;&gt;"Компания"),D502+L502,0))</f>
        <v/>
      </c>
      <c r="N502" s="21">
        <f>SUMPRODUCT(MAX((Брони!$B$2:$B$500=B502)*((Брони!$F$2:$F$500="Выдана")+(Брони!$F$2:$F$500="Возвращена"))*(Брони!$D$2:$D$500&lt;=A502)*Брони!$D$2:$D$500))</f>
        <v/>
      </c>
      <c r="O502" s="19">
        <f>SUMPRODUCT((Брони!$B$2:$B$500=B502)*(Брони!$D$2:$D$500=N502)*((((Брони!$F$2:$F$500="Выдана")*NOW())+((Брони!$F$2:$F$500="Возвращена")*Брони!$E$2:$E$500))&gt;=A502)*Брони!$A$2:$A$500)</f>
        <v/>
      </c>
      <c r="P502" s="19">
        <f>SUMPRODUCT((Брони!$B$2:$B$500=B502)*(Брони!$D$2:$D$500=N502)*(((Брони!$F$2:$F$500="Выдана")+(Брони!$F$2:$F$500="Возвращена"))))</f>
        <v/>
      </c>
      <c r="Q502" s="10" t="n"/>
    </row>
    <row r="503">
      <c r="A503" s="11" t="n"/>
      <c r="B503" s="10" t="n"/>
      <c r="C503" s="10" t="n"/>
      <c r="D503" s="14" t="n"/>
      <c r="E503" s="10" t="n"/>
      <c r="F503" s="20">
        <f>IF(OR(A503="",B503=""),"",IF(OR(NOT(ISNUMBER(A503)),ISERROR(N503+O503+P503)),"Проверьте даты",IF(AND(N503&gt;0,P503&gt;1),"Дубль",IF(AND(N503&gt;0,O503&gt;0),O503,"Вне аренды"))))</f>
        <v/>
      </c>
      <c r="G503" s="12">
        <f>IF(ISNUMBER(F503),IFERROR(INDEX(Брони!$C$2:$C$500,MATCH(F503,Брони!$A$2:$A$500,0)),""),"")</f>
        <v/>
      </c>
      <c r="H503" s="10" t="n"/>
      <c r="I503" s="18" t="n"/>
      <c r="J503" s="12">
        <f>IF(AND(ISNUMBER(F503),I503&lt;&gt;""),IFERROR(IF(AND(INDEX(Брони!$F$2:$F$500,MATCH(F503,Брони!$A$2:$A$500,0))="Возвращена",I503&gt;INDEX(Брони!$E$2:$E$500,MATCH(F503,Брони!$A$2:$A$500,0))),"Да",""),""),"")</f>
        <v/>
      </c>
      <c r="K503" s="10" t="n"/>
      <c r="L503" s="14" t="n"/>
      <c r="M503" s="15">
        <f>IF(OR(A503="",B503=""),"",IF(AND(ISNUMBER(F503),H503&lt;&gt;"Компания"),D503+L503,0))</f>
        <v/>
      </c>
      <c r="N503" s="21">
        <f>SUMPRODUCT(MAX((Брони!$B$2:$B$500=B503)*((Брони!$F$2:$F$500="Выдана")+(Брони!$F$2:$F$500="Возвращена"))*(Брони!$D$2:$D$500&lt;=A503)*Брони!$D$2:$D$500))</f>
        <v/>
      </c>
      <c r="O503" s="19">
        <f>SUMPRODUCT((Брони!$B$2:$B$500=B503)*(Брони!$D$2:$D$500=N503)*((((Брони!$F$2:$F$500="Выдана")*NOW())+((Брони!$F$2:$F$500="Возвращена")*Брони!$E$2:$E$500))&gt;=A503)*Брони!$A$2:$A$500)</f>
        <v/>
      </c>
      <c r="P503" s="19">
        <f>SUMPRODUCT((Брони!$B$2:$B$500=B503)*(Брони!$D$2:$D$500=N503)*(((Брони!$F$2:$F$500="Выдана")+(Брони!$F$2:$F$500="Возвращена"))))</f>
        <v/>
      </c>
      <c r="Q503" s="10" t="n"/>
    </row>
    <row r="504">
      <c r="A504" s="11" t="n"/>
      <c r="B504" s="10" t="n"/>
      <c r="C504" s="10" t="n"/>
      <c r="D504" s="14" t="n"/>
      <c r="E504" s="10" t="n"/>
      <c r="F504" s="20">
        <f>IF(OR(A504="",B504=""),"",IF(OR(NOT(ISNUMBER(A504)),ISERROR(N504+O504+P504)),"Проверьте даты",IF(AND(N504&gt;0,P504&gt;1),"Дубль",IF(AND(N504&gt;0,O504&gt;0),O504,"Вне аренды"))))</f>
        <v/>
      </c>
      <c r="G504" s="12">
        <f>IF(ISNUMBER(F504),IFERROR(INDEX(Брони!$C$2:$C$500,MATCH(F504,Брони!$A$2:$A$500,0)),""),"")</f>
        <v/>
      </c>
      <c r="H504" s="10" t="n"/>
      <c r="I504" s="18" t="n"/>
      <c r="J504" s="12">
        <f>IF(AND(ISNUMBER(F504),I504&lt;&gt;""),IFERROR(IF(AND(INDEX(Брони!$F$2:$F$500,MATCH(F504,Брони!$A$2:$A$500,0))="Возвращена",I504&gt;INDEX(Брони!$E$2:$E$500,MATCH(F504,Брони!$A$2:$A$500,0))),"Да",""),""),"")</f>
        <v/>
      </c>
      <c r="K504" s="10" t="n"/>
      <c r="L504" s="14" t="n"/>
      <c r="M504" s="15">
        <f>IF(OR(A504="",B504=""),"",IF(AND(ISNUMBER(F504),H504&lt;&gt;"Компания"),D504+L504,0))</f>
        <v/>
      </c>
      <c r="N504" s="21">
        <f>SUMPRODUCT(MAX((Брони!$B$2:$B$500=B504)*((Брони!$F$2:$F$500="Выдана")+(Брони!$F$2:$F$500="Возвращена"))*(Брони!$D$2:$D$500&lt;=A504)*Брони!$D$2:$D$500))</f>
        <v/>
      </c>
      <c r="O504" s="19">
        <f>SUMPRODUCT((Брони!$B$2:$B$500=B504)*(Брони!$D$2:$D$500=N504)*((((Брони!$F$2:$F$500="Выдана")*NOW())+((Брони!$F$2:$F$500="Возвращена")*Брони!$E$2:$E$500))&gt;=A504)*Брони!$A$2:$A$500)</f>
        <v/>
      </c>
      <c r="P504" s="19">
        <f>SUMPRODUCT((Брони!$B$2:$B$500=B504)*(Брони!$D$2:$D$500=N504)*(((Брони!$F$2:$F$500="Выдана")+(Брони!$F$2:$F$500="Возвращена"))))</f>
        <v/>
      </c>
      <c r="Q504" s="10" t="n"/>
    </row>
    <row r="505">
      <c r="A505" s="11" t="n"/>
      <c r="B505" s="10" t="n"/>
      <c r="C505" s="10" t="n"/>
      <c r="D505" s="14" t="n"/>
      <c r="E505" s="10" t="n"/>
      <c r="F505" s="20">
        <f>IF(OR(A505="",B505=""),"",IF(OR(NOT(ISNUMBER(A505)),ISERROR(N505+O505+P505)),"Проверьте даты",IF(AND(N505&gt;0,P505&gt;1),"Дубль",IF(AND(N505&gt;0,O505&gt;0),O505,"Вне аренды"))))</f>
        <v/>
      </c>
      <c r="G505" s="12">
        <f>IF(ISNUMBER(F505),IFERROR(INDEX(Брони!$C$2:$C$500,MATCH(F505,Брони!$A$2:$A$500,0)),""),"")</f>
        <v/>
      </c>
      <c r="H505" s="10" t="n"/>
      <c r="I505" s="18" t="n"/>
      <c r="J505" s="12">
        <f>IF(AND(ISNUMBER(F505),I505&lt;&gt;""),IFERROR(IF(AND(INDEX(Брони!$F$2:$F$500,MATCH(F505,Брони!$A$2:$A$500,0))="Возвращена",I505&gt;INDEX(Брони!$E$2:$E$500,MATCH(F505,Брони!$A$2:$A$500,0))),"Да",""),""),"")</f>
        <v/>
      </c>
      <c r="K505" s="10" t="n"/>
      <c r="L505" s="14" t="n"/>
      <c r="M505" s="15">
        <f>IF(OR(A505="",B505=""),"",IF(AND(ISNUMBER(F505),H505&lt;&gt;"Компания"),D505+L505,0))</f>
        <v/>
      </c>
      <c r="N505" s="21">
        <f>SUMPRODUCT(MAX((Брони!$B$2:$B$500=B505)*((Брони!$F$2:$F$500="Выдана")+(Брони!$F$2:$F$500="Возвращена"))*(Брони!$D$2:$D$500&lt;=A505)*Брони!$D$2:$D$500))</f>
        <v/>
      </c>
      <c r="O505" s="19">
        <f>SUMPRODUCT((Брони!$B$2:$B$500=B505)*(Брони!$D$2:$D$500=N505)*((((Брони!$F$2:$F$500="Выдана")*NOW())+((Брони!$F$2:$F$500="Возвращена")*Брони!$E$2:$E$500))&gt;=A505)*Брони!$A$2:$A$500)</f>
        <v/>
      </c>
      <c r="P505" s="19">
        <f>SUMPRODUCT((Брони!$B$2:$B$500=B505)*(Брони!$D$2:$D$500=N505)*(((Брони!$F$2:$F$500="Выдана")+(Брони!$F$2:$F$500="Возвращена"))))</f>
        <v/>
      </c>
      <c r="Q505" s="10" t="n"/>
    </row>
    <row r="506">
      <c r="A506" s="11" t="n"/>
      <c r="B506" s="10" t="n"/>
      <c r="C506" s="10" t="n"/>
      <c r="D506" s="14" t="n"/>
      <c r="E506" s="10" t="n"/>
      <c r="F506" s="20">
        <f>IF(OR(A506="",B506=""),"",IF(OR(NOT(ISNUMBER(A506)),ISERROR(N506+O506+P506)),"Проверьте даты",IF(AND(N506&gt;0,P506&gt;1),"Дубль",IF(AND(N506&gt;0,O506&gt;0),O506,"Вне аренды"))))</f>
        <v/>
      </c>
      <c r="G506" s="12">
        <f>IF(ISNUMBER(F506),IFERROR(INDEX(Брони!$C$2:$C$500,MATCH(F506,Брони!$A$2:$A$500,0)),""),"")</f>
        <v/>
      </c>
      <c r="H506" s="10" t="n"/>
      <c r="I506" s="18" t="n"/>
      <c r="J506" s="12">
        <f>IF(AND(ISNUMBER(F506),I506&lt;&gt;""),IFERROR(IF(AND(INDEX(Брони!$F$2:$F$500,MATCH(F506,Брони!$A$2:$A$500,0))="Возвращена",I506&gt;INDEX(Брони!$E$2:$E$500,MATCH(F506,Брони!$A$2:$A$500,0))),"Да",""),""),"")</f>
        <v/>
      </c>
      <c r="K506" s="10" t="n"/>
      <c r="L506" s="14" t="n"/>
      <c r="M506" s="15">
        <f>IF(OR(A506="",B506=""),"",IF(AND(ISNUMBER(F506),H506&lt;&gt;"Компания"),D506+L506,0))</f>
        <v/>
      </c>
      <c r="N506" s="21">
        <f>SUMPRODUCT(MAX((Брони!$B$2:$B$500=B506)*((Брони!$F$2:$F$500="Выдана")+(Брони!$F$2:$F$500="Возвращена"))*(Брони!$D$2:$D$500&lt;=A506)*Брони!$D$2:$D$500))</f>
        <v/>
      </c>
      <c r="O506" s="19">
        <f>SUMPRODUCT((Брони!$B$2:$B$500=B506)*(Брони!$D$2:$D$500=N506)*((((Брони!$F$2:$F$500="Выдана")*NOW())+((Брони!$F$2:$F$500="Возвращена")*Брони!$E$2:$E$500))&gt;=A506)*Брони!$A$2:$A$500)</f>
        <v/>
      </c>
      <c r="P506" s="19">
        <f>SUMPRODUCT((Брони!$B$2:$B$500=B506)*(Брони!$D$2:$D$500=N506)*(((Брони!$F$2:$F$500="Выдана")+(Брони!$F$2:$F$500="Возвращена"))))</f>
        <v/>
      </c>
      <c r="Q506" s="10" t="n"/>
    </row>
    <row r="507">
      <c r="A507" s="11" t="n"/>
      <c r="B507" s="10" t="n"/>
      <c r="C507" s="10" t="n"/>
      <c r="D507" s="14" t="n"/>
      <c r="E507" s="10" t="n"/>
      <c r="F507" s="20">
        <f>IF(OR(A507="",B507=""),"",IF(OR(NOT(ISNUMBER(A507)),ISERROR(N507+O507+P507)),"Проверьте даты",IF(AND(N507&gt;0,P507&gt;1),"Дубль",IF(AND(N507&gt;0,O507&gt;0),O507,"Вне аренды"))))</f>
        <v/>
      </c>
      <c r="G507" s="12">
        <f>IF(ISNUMBER(F507),IFERROR(INDEX(Брони!$C$2:$C$500,MATCH(F507,Брони!$A$2:$A$500,0)),""),"")</f>
        <v/>
      </c>
      <c r="H507" s="10" t="n"/>
      <c r="I507" s="18" t="n"/>
      <c r="J507" s="12">
        <f>IF(AND(ISNUMBER(F507),I507&lt;&gt;""),IFERROR(IF(AND(INDEX(Брони!$F$2:$F$500,MATCH(F507,Брони!$A$2:$A$500,0))="Возвращена",I507&gt;INDEX(Брони!$E$2:$E$500,MATCH(F507,Брони!$A$2:$A$500,0))),"Да",""),""),"")</f>
        <v/>
      </c>
      <c r="K507" s="10" t="n"/>
      <c r="L507" s="14" t="n"/>
      <c r="M507" s="15">
        <f>IF(OR(A507="",B507=""),"",IF(AND(ISNUMBER(F507),H507&lt;&gt;"Компания"),D507+L507,0))</f>
        <v/>
      </c>
      <c r="N507" s="21">
        <f>SUMPRODUCT(MAX((Брони!$B$2:$B$500=B507)*((Брони!$F$2:$F$500="Выдана")+(Брони!$F$2:$F$500="Возвращена"))*(Брони!$D$2:$D$500&lt;=A507)*Брони!$D$2:$D$500))</f>
        <v/>
      </c>
      <c r="O507" s="19">
        <f>SUMPRODUCT((Брони!$B$2:$B$500=B507)*(Брони!$D$2:$D$500=N507)*((((Брони!$F$2:$F$500="Выдана")*NOW())+((Брони!$F$2:$F$500="Возвращена")*Брони!$E$2:$E$500))&gt;=A507)*Брони!$A$2:$A$500)</f>
        <v/>
      </c>
      <c r="P507" s="19">
        <f>SUMPRODUCT((Брони!$B$2:$B$500=B507)*(Брони!$D$2:$D$500=N507)*(((Брони!$F$2:$F$500="Выдана")+(Брони!$F$2:$F$500="Возвращена"))))</f>
        <v/>
      </c>
      <c r="Q507" s="10" t="n"/>
    </row>
    <row r="508">
      <c r="A508" s="11" t="n"/>
      <c r="B508" s="10" t="n"/>
      <c r="C508" s="10" t="n"/>
      <c r="D508" s="14" t="n"/>
      <c r="E508" s="10" t="n"/>
      <c r="F508" s="20">
        <f>IF(OR(A508="",B508=""),"",IF(OR(NOT(ISNUMBER(A508)),ISERROR(N508+O508+P508)),"Проверьте даты",IF(AND(N508&gt;0,P508&gt;1),"Дубль",IF(AND(N508&gt;0,O508&gt;0),O508,"Вне аренды"))))</f>
        <v/>
      </c>
      <c r="G508" s="12">
        <f>IF(ISNUMBER(F508),IFERROR(INDEX(Брони!$C$2:$C$500,MATCH(F508,Брони!$A$2:$A$500,0)),""),"")</f>
        <v/>
      </c>
      <c r="H508" s="10" t="n"/>
      <c r="I508" s="18" t="n"/>
      <c r="J508" s="12">
        <f>IF(AND(ISNUMBER(F508),I508&lt;&gt;""),IFERROR(IF(AND(INDEX(Брони!$F$2:$F$500,MATCH(F508,Брони!$A$2:$A$500,0))="Возвращена",I508&gt;INDEX(Брони!$E$2:$E$500,MATCH(F508,Брони!$A$2:$A$500,0))),"Да",""),""),"")</f>
        <v/>
      </c>
      <c r="K508" s="10" t="n"/>
      <c r="L508" s="14" t="n"/>
      <c r="M508" s="15">
        <f>IF(OR(A508="",B508=""),"",IF(AND(ISNUMBER(F508),H508&lt;&gt;"Компания"),D508+L508,0))</f>
        <v/>
      </c>
      <c r="N508" s="21">
        <f>SUMPRODUCT(MAX((Брони!$B$2:$B$500=B508)*((Брони!$F$2:$F$500="Выдана")+(Брони!$F$2:$F$500="Возвращена"))*(Брони!$D$2:$D$500&lt;=A508)*Брони!$D$2:$D$500))</f>
        <v/>
      </c>
      <c r="O508" s="19">
        <f>SUMPRODUCT((Брони!$B$2:$B$500=B508)*(Брони!$D$2:$D$500=N508)*((((Брони!$F$2:$F$500="Выдана")*NOW())+((Брони!$F$2:$F$500="Возвращена")*Брони!$E$2:$E$500))&gt;=A508)*Брони!$A$2:$A$500)</f>
        <v/>
      </c>
      <c r="P508" s="19">
        <f>SUMPRODUCT((Брони!$B$2:$B$500=B508)*(Брони!$D$2:$D$500=N508)*(((Брони!$F$2:$F$500="Выдана")+(Брони!$F$2:$F$500="Возвращена"))))</f>
        <v/>
      </c>
      <c r="Q508" s="10" t="n"/>
    </row>
    <row r="509">
      <c r="A509" s="11" t="n"/>
      <c r="B509" s="10" t="n"/>
      <c r="C509" s="10" t="n"/>
      <c r="D509" s="14" t="n"/>
      <c r="E509" s="10" t="n"/>
      <c r="F509" s="20">
        <f>IF(OR(A509="",B509=""),"",IF(OR(NOT(ISNUMBER(A509)),ISERROR(N509+O509+P509)),"Проверьте даты",IF(AND(N509&gt;0,P509&gt;1),"Дубль",IF(AND(N509&gt;0,O509&gt;0),O509,"Вне аренды"))))</f>
        <v/>
      </c>
      <c r="G509" s="12">
        <f>IF(ISNUMBER(F509),IFERROR(INDEX(Брони!$C$2:$C$500,MATCH(F509,Брони!$A$2:$A$500,0)),""),"")</f>
        <v/>
      </c>
      <c r="H509" s="10" t="n"/>
      <c r="I509" s="18" t="n"/>
      <c r="J509" s="12">
        <f>IF(AND(ISNUMBER(F509),I509&lt;&gt;""),IFERROR(IF(AND(INDEX(Брони!$F$2:$F$500,MATCH(F509,Брони!$A$2:$A$500,0))="Возвращена",I509&gt;INDEX(Брони!$E$2:$E$500,MATCH(F509,Брони!$A$2:$A$500,0))),"Да",""),""),"")</f>
        <v/>
      </c>
      <c r="K509" s="10" t="n"/>
      <c r="L509" s="14" t="n"/>
      <c r="M509" s="15">
        <f>IF(OR(A509="",B509=""),"",IF(AND(ISNUMBER(F509),H509&lt;&gt;"Компания"),D509+L509,0))</f>
        <v/>
      </c>
      <c r="N509" s="21">
        <f>SUMPRODUCT(MAX((Брони!$B$2:$B$500=B509)*((Брони!$F$2:$F$500="Выдана")+(Брони!$F$2:$F$500="Возвращена"))*(Брони!$D$2:$D$500&lt;=A509)*Брони!$D$2:$D$500))</f>
        <v/>
      </c>
      <c r="O509" s="19">
        <f>SUMPRODUCT((Брони!$B$2:$B$500=B509)*(Брони!$D$2:$D$500=N509)*((((Брони!$F$2:$F$500="Выдана")*NOW())+((Брони!$F$2:$F$500="Возвращена")*Брони!$E$2:$E$500))&gt;=A509)*Брони!$A$2:$A$500)</f>
        <v/>
      </c>
      <c r="P509" s="19">
        <f>SUMPRODUCT((Брони!$B$2:$B$500=B509)*(Брони!$D$2:$D$500=N509)*(((Брони!$F$2:$F$500="Выдана")+(Брони!$F$2:$F$500="Возвращена"))))</f>
        <v/>
      </c>
      <c r="Q509" s="10" t="n"/>
    </row>
    <row r="510">
      <c r="A510" s="11" t="n"/>
      <c r="B510" s="10" t="n"/>
      <c r="C510" s="10" t="n"/>
      <c r="D510" s="14" t="n"/>
      <c r="E510" s="10" t="n"/>
      <c r="F510" s="20">
        <f>IF(OR(A510="",B510=""),"",IF(OR(NOT(ISNUMBER(A510)),ISERROR(N510+O510+P510)),"Проверьте даты",IF(AND(N510&gt;0,P510&gt;1),"Дубль",IF(AND(N510&gt;0,O510&gt;0),O510,"Вне аренды"))))</f>
        <v/>
      </c>
      <c r="G510" s="12">
        <f>IF(ISNUMBER(F510),IFERROR(INDEX(Брони!$C$2:$C$500,MATCH(F510,Брони!$A$2:$A$500,0)),""),"")</f>
        <v/>
      </c>
      <c r="H510" s="10" t="n"/>
      <c r="I510" s="18" t="n"/>
      <c r="J510" s="12">
        <f>IF(AND(ISNUMBER(F510),I510&lt;&gt;""),IFERROR(IF(AND(INDEX(Брони!$F$2:$F$500,MATCH(F510,Брони!$A$2:$A$500,0))="Возвращена",I510&gt;INDEX(Брони!$E$2:$E$500,MATCH(F510,Брони!$A$2:$A$500,0))),"Да",""),""),"")</f>
        <v/>
      </c>
      <c r="K510" s="10" t="n"/>
      <c r="L510" s="14" t="n"/>
      <c r="M510" s="15">
        <f>IF(OR(A510="",B510=""),"",IF(AND(ISNUMBER(F510),H510&lt;&gt;"Компания"),D510+L510,0))</f>
        <v/>
      </c>
      <c r="N510" s="21">
        <f>SUMPRODUCT(MAX((Брони!$B$2:$B$500=B510)*((Брони!$F$2:$F$500="Выдана")+(Брони!$F$2:$F$500="Возвращена"))*(Брони!$D$2:$D$500&lt;=A510)*Брони!$D$2:$D$500))</f>
        <v/>
      </c>
      <c r="O510" s="19">
        <f>SUMPRODUCT((Брони!$B$2:$B$500=B510)*(Брони!$D$2:$D$500=N510)*((((Брони!$F$2:$F$500="Выдана")*NOW())+((Брони!$F$2:$F$500="Возвращена")*Брони!$E$2:$E$500))&gt;=A510)*Брони!$A$2:$A$500)</f>
        <v/>
      </c>
      <c r="P510" s="19">
        <f>SUMPRODUCT((Брони!$B$2:$B$500=B510)*(Брони!$D$2:$D$500=N510)*(((Брони!$F$2:$F$500="Выдана")+(Брони!$F$2:$F$500="Возвращена"))))</f>
        <v/>
      </c>
      <c r="Q510" s="10" t="n"/>
    </row>
    <row r="511">
      <c r="A511" s="11" t="n"/>
      <c r="B511" s="10" t="n"/>
      <c r="C511" s="10" t="n"/>
      <c r="D511" s="14" t="n"/>
      <c r="E511" s="10" t="n"/>
      <c r="F511" s="20">
        <f>IF(OR(A511="",B511=""),"",IF(OR(NOT(ISNUMBER(A511)),ISERROR(N511+O511+P511)),"Проверьте даты",IF(AND(N511&gt;0,P511&gt;1),"Дубль",IF(AND(N511&gt;0,O511&gt;0),O511,"Вне аренды"))))</f>
        <v/>
      </c>
      <c r="G511" s="12">
        <f>IF(ISNUMBER(F511),IFERROR(INDEX(Брони!$C$2:$C$500,MATCH(F511,Брони!$A$2:$A$500,0)),""),"")</f>
        <v/>
      </c>
      <c r="H511" s="10" t="n"/>
      <c r="I511" s="18" t="n"/>
      <c r="J511" s="12">
        <f>IF(AND(ISNUMBER(F511),I511&lt;&gt;""),IFERROR(IF(AND(INDEX(Брони!$F$2:$F$500,MATCH(F511,Брони!$A$2:$A$500,0))="Возвращена",I511&gt;INDEX(Брони!$E$2:$E$500,MATCH(F511,Брони!$A$2:$A$500,0))),"Да",""),""),"")</f>
        <v/>
      </c>
      <c r="K511" s="10" t="n"/>
      <c r="L511" s="14" t="n"/>
      <c r="M511" s="15">
        <f>IF(OR(A511="",B511=""),"",IF(AND(ISNUMBER(F511),H511&lt;&gt;"Компания"),D511+L511,0))</f>
        <v/>
      </c>
      <c r="N511" s="21">
        <f>SUMPRODUCT(MAX((Брони!$B$2:$B$500=B511)*((Брони!$F$2:$F$500="Выдана")+(Брони!$F$2:$F$500="Возвращена"))*(Брони!$D$2:$D$500&lt;=A511)*Брони!$D$2:$D$500))</f>
        <v/>
      </c>
      <c r="O511" s="19">
        <f>SUMPRODUCT((Брони!$B$2:$B$500=B511)*(Брони!$D$2:$D$500=N511)*((((Брони!$F$2:$F$500="Выдана")*NOW())+((Брони!$F$2:$F$500="Возвращена")*Брони!$E$2:$E$500))&gt;=A511)*Брони!$A$2:$A$500)</f>
        <v/>
      </c>
      <c r="P511" s="19">
        <f>SUMPRODUCT((Брони!$B$2:$B$500=B511)*(Брони!$D$2:$D$500=N511)*(((Брони!$F$2:$F$500="Выдана")+(Брони!$F$2:$F$500="Возвращена"))))</f>
        <v/>
      </c>
      <c r="Q511" s="10" t="n"/>
    </row>
    <row r="512">
      <c r="A512" s="11" t="n"/>
      <c r="B512" s="10" t="n"/>
      <c r="C512" s="10" t="n"/>
      <c r="D512" s="14" t="n"/>
      <c r="E512" s="10" t="n"/>
      <c r="F512" s="20">
        <f>IF(OR(A512="",B512=""),"",IF(OR(NOT(ISNUMBER(A512)),ISERROR(N512+O512+P512)),"Проверьте даты",IF(AND(N512&gt;0,P512&gt;1),"Дубль",IF(AND(N512&gt;0,O512&gt;0),O512,"Вне аренды"))))</f>
        <v/>
      </c>
      <c r="G512" s="12">
        <f>IF(ISNUMBER(F512),IFERROR(INDEX(Брони!$C$2:$C$500,MATCH(F512,Брони!$A$2:$A$500,0)),""),"")</f>
        <v/>
      </c>
      <c r="H512" s="10" t="n"/>
      <c r="I512" s="18" t="n"/>
      <c r="J512" s="12">
        <f>IF(AND(ISNUMBER(F512),I512&lt;&gt;""),IFERROR(IF(AND(INDEX(Брони!$F$2:$F$500,MATCH(F512,Брони!$A$2:$A$500,0))="Возвращена",I512&gt;INDEX(Брони!$E$2:$E$500,MATCH(F512,Брони!$A$2:$A$500,0))),"Да",""),""),"")</f>
        <v/>
      </c>
      <c r="K512" s="10" t="n"/>
      <c r="L512" s="14" t="n"/>
      <c r="M512" s="15">
        <f>IF(OR(A512="",B512=""),"",IF(AND(ISNUMBER(F512),H512&lt;&gt;"Компания"),D512+L512,0))</f>
        <v/>
      </c>
      <c r="N512" s="21">
        <f>SUMPRODUCT(MAX((Брони!$B$2:$B$500=B512)*((Брони!$F$2:$F$500="Выдана")+(Брони!$F$2:$F$500="Возвращена"))*(Брони!$D$2:$D$500&lt;=A512)*Брони!$D$2:$D$500))</f>
        <v/>
      </c>
      <c r="O512" s="19">
        <f>SUMPRODUCT((Брони!$B$2:$B$500=B512)*(Брони!$D$2:$D$500=N512)*((((Брони!$F$2:$F$500="Выдана")*NOW())+((Брони!$F$2:$F$500="Возвращена")*Брони!$E$2:$E$500))&gt;=A512)*Брони!$A$2:$A$500)</f>
        <v/>
      </c>
      <c r="P512" s="19">
        <f>SUMPRODUCT((Брони!$B$2:$B$500=B512)*(Брони!$D$2:$D$500=N512)*(((Брони!$F$2:$F$500="Выдана")+(Брони!$F$2:$F$500="Возвращена"))))</f>
        <v/>
      </c>
      <c r="Q512" s="10" t="n"/>
    </row>
    <row r="513">
      <c r="A513" s="11" t="n"/>
      <c r="B513" s="10" t="n"/>
      <c r="C513" s="10" t="n"/>
      <c r="D513" s="14" t="n"/>
      <c r="E513" s="10" t="n"/>
      <c r="F513" s="20">
        <f>IF(OR(A513="",B513=""),"",IF(OR(NOT(ISNUMBER(A513)),ISERROR(N513+O513+P513)),"Проверьте даты",IF(AND(N513&gt;0,P513&gt;1),"Дубль",IF(AND(N513&gt;0,O513&gt;0),O513,"Вне аренды"))))</f>
        <v/>
      </c>
      <c r="G513" s="12">
        <f>IF(ISNUMBER(F513),IFERROR(INDEX(Брони!$C$2:$C$500,MATCH(F513,Брони!$A$2:$A$500,0)),""),"")</f>
        <v/>
      </c>
      <c r="H513" s="10" t="n"/>
      <c r="I513" s="18" t="n"/>
      <c r="J513" s="12">
        <f>IF(AND(ISNUMBER(F513),I513&lt;&gt;""),IFERROR(IF(AND(INDEX(Брони!$F$2:$F$500,MATCH(F513,Брони!$A$2:$A$500,0))="Возвращена",I513&gt;INDEX(Брони!$E$2:$E$500,MATCH(F513,Брони!$A$2:$A$500,0))),"Да",""),""),"")</f>
        <v/>
      </c>
      <c r="K513" s="10" t="n"/>
      <c r="L513" s="14" t="n"/>
      <c r="M513" s="15">
        <f>IF(OR(A513="",B513=""),"",IF(AND(ISNUMBER(F513),H513&lt;&gt;"Компания"),D513+L513,0))</f>
        <v/>
      </c>
      <c r="N513" s="21">
        <f>SUMPRODUCT(MAX((Брони!$B$2:$B$500=B513)*((Брони!$F$2:$F$500="Выдана")+(Брони!$F$2:$F$500="Возвращена"))*(Брони!$D$2:$D$500&lt;=A513)*Брони!$D$2:$D$500))</f>
        <v/>
      </c>
      <c r="O513" s="19">
        <f>SUMPRODUCT((Брони!$B$2:$B$500=B513)*(Брони!$D$2:$D$500=N513)*((((Брони!$F$2:$F$500="Выдана")*NOW())+((Брони!$F$2:$F$500="Возвращена")*Брони!$E$2:$E$500))&gt;=A513)*Брони!$A$2:$A$500)</f>
        <v/>
      </c>
      <c r="P513" s="19">
        <f>SUMPRODUCT((Брони!$B$2:$B$500=B513)*(Брони!$D$2:$D$500=N513)*(((Брони!$F$2:$F$500="Выдана")+(Брони!$F$2:$F$500="Возвращена"))))</f>
        <v/>
      </c>
      <c r="Q513" s="10" t="n"/>
    </row>
    <row r="514">
      <c r="A514" s="11" t="n"/>
      <c r="B514" s="10" t="n"/>
      <c r="C514" s="10" t="n"/>
      <c r="D514" s="14" t="n"/>
      <c r="E514" s="10" t="n"/>
      <c r="F514" s="20">
        <f>IF(OR(A514="",B514=""),"",IF(OR(NOT(ISNUMBER(A514)),ISERROR(N514+O514+P514)),"Проверьте даты",IF(AND(N514&gt;0,P514&gt;1),"Дубль",IF(AND(N514&gt;0,O514&gt;0),O514,"Вне аренды"))))</f>
        <v/>
      </c>
      <c r="G514" s="12">
        <f>IF(ISNUMBER(F514),IFERROR(INDEX(Брони!$C$2:$C$500,MATCH(F514,Брони!$A$2:$A$500,0)),""),"")</f>
        <v/>
      </c>
      <c r="H514" s="10" t="n"/>
      <c r="I514" s="18" t="n"/>
      <c r="J514" s="12">
        <f>IF(AND(ISNUMBER(F514),I514&lt;&gt;""),IFERROR(IF(AND(INDEX(Брони!$F$2:$F$500,MATCH(F514,Брони!$A$2:$A$500,0))="Возвращена",I514&gt;INDEX(Брони!$E$2:$E$500,MATCH(F514,Брони!$A$2:$A$500,0))),"Да",""),""),"")</f>
        <v/>
      </c>
      <c r="K514" s="10" t="n"/>
      <c r="L514" s="14" t="n"/>
      <c r="M514" s="15">
        <f>IF(OR(A514="",B514=""),"",IF(AND(ISNUMBER(F514),H514&lt;&gt;"Компания"),D514+L514,0))</f>
        <v/>
      </c>
      <c r="N514" s="21">
        <f>SUMPRODUCT(MAX((Брони!$B$2:$B$500=B514)*((Брони!$F$2:$F$500="Выдана")+(Брони!$F$2:$F$500="Возвращена"))*(Брони!$D$2:$D$500&lt;=A514)*Брони!$D$2:$D$500))</f>
        <v/>
      </c>
      <c r="O514" s="19">
        <f>SUMPRODUCT((Брони!$B$2:$B$500=B514)*(Брони!$D$2:$D$500=N514)*((((Брони!$F$2:$F$500="Выдана")*NOW())+((Брони!$F$2:$F$500="Возвращена")*Брони!$E$2:$E$500))&gt;=A514)*Брони!$A$2:$A$500)</f>
        <v/>
      </c>
      <c r="P514" s="19">
        <f>SUMPRODUCT((Брони!$B$2:$B$500=B514)*(Брони!$D$2:$D$500=N514)*(((Брони!$F$2:$F$500="Выдана")+(Брони!$F$2:$F$500="Возвращена"))))</f>
        <v/>
      </c>
      <c r="Q514" s="10" t="n"/>
    </row>
    <row r="515">
      <c r="A515" s="11" t="n"/>
      <c r="B515" s="10" t="n"/>
      <c r="C515" s="10" t="n"/>
      <c r="D515" s="14" t="n"/>
      <c r="E515" s="10" t="n"/>
      <c r="F515" s="20">
        <f>IF(OR(A515="",B515=""),"",IF(OR(NOT(ISNUMBER(A515)),ISERROR(N515+O515+P515)),"Проверьте даты",IF(AND(N515&gt;0,P515&gt;1),"Дубль",IF(AND(N515&gt;0,O515&gt;0),O515,"Вне аренды"))))</f>
        <v/>
      </c>
      <c r="G515" s="12">
        <f>IF(ISNUMBER(F515),IFERROR(INDEX(Брони!$C$2:$C$500,MATCH(F515,Брони!$A$2:$A$500,0)),""),"")</f>
        <v/>
      </c>
      <c r="H515" s="10" t="n"/>
      <c r="I515" s="18" t="n"/>
      <c r="J515" s="12">
        <f>IF(AND(ISNUMBER(F515),I515&lt;&gt;""),IFERROR(IF(AND(INDEX(Брони!$F$2:$F$500,MATCH(F515,Брони!$A$2:$A$500,0))="Возвращена",I515&gt;INDEX(Брони!$E$2:$E$500,MATCH(F515,Брони!$A$2:$A$500,0))),"Да",""),""),"")</f>
        <v/>
      </c>
      <c r="K515" s="10" t="n"/>
      <c r="L515" s="14" t="n"/>
      <c r="M515" s="15">
        <f>IF(OR(A515="",B515=""),"",IF(AND(ISNUMBER(F515),H515&lt;&gt;"Компания"),D515+L515,0))</f>
        <v/>
      </c>
      <c r="N515" s="21">
        <f>SUMPRODUCT(MAX((Брони!$B$2:$B$500=B515)*((Брони!$F$2:$F$500="Выдана")+(Брони!$F$2:$F$500="Возвращена"))*(Брони!$D$2:$D$500&lt;=A515)*Брони!$D$2:$D$500))</f>
        <v/>
      </c>
      <c r="O515" s="19">
        <f>SUMPRODUCT((Брони!$B$2:$B$500=B515)*(Брони!$D$2:$D$500=N515)*((((Брони!$F$2:$F$500="Выдана")*NOW())+((Брони!$F$2:$F$500="Возвращена")*Брони!$E$2:$E$500))&gt;=A515)*Брони!$A$2:$A$500)</f>
        <v/>
      </c>
      <c r="P515" s="19">
        <f>SUMPRODUCT((Брони!$B$2:$B$500=B515)*(Брони!$D$2:$D$500=N515)*(((Брони!$F$2:$F$500="Выдана")+(Брони!$F$2:$F$500="Возвращена"))))</f>
        <v/>
      </c>
      <c r="Q515" s="10" t="n"/>
    </row>
    <row r="516">
      <c r="A516" s="11" t="n"/>
      <c r="B516" s="10" t="n"/>
      <c r="C516" s="10" t="n"/>
      <c r="D516" s="14" t="n"/>
      <c r="E516" s="10" t="n"/>
      <c r="F516" s="20">
        <f>IF(OR(A516="",B516=""),"",IF(OR(NOT(ISNUMBER(A516)),ISERROR(N516+O516+P516)),"Проверьте даты",IF(AND(N516&gt;0,P516&gt;1),"Дубль",IF(AND(N516&gt;0,O516&gt;0),O516,"Вне аренды"))))</f>
        <v/>
      </c>
      <c r="G516" s="12">
        <f>IF(ISNUMBER(F516),IFERROR(INDEX(Брони!$C$2:$C$500,MATCH(F516,Брони!$A$2:$A$500,0)),""),"")</f>
        <v/>
      </c>
      <c r="H516" s="10" t="n"/>
      <c r="I516" s="18" t="n"/>
      <c r="J516" s="12">
        <f>IF(AND(ISNUMBER(F516),I516&lt;&gt;""),IFERROR(IF(AND(INDEX(Брони!$F$2:$F$500,MATCH(F516,Брони!$A$2:$A$500,0))="Возвращена",I516&gt;INDEX(Брони!$E$2:$E$500,MATCH(F516,Брони!$A$2:$A$500,0))),"Да",""),""),"")</f>
        <v/>
      </c>
      <c r="K516" s="10" t="n"/>
      <c r="L516" s="14" t="n"/>
      <c r="M516" s="15">
        <f>IF(OR(A516="",B516=""),"",IF(AND(ISNUMBER(F516),H516&lt;&gt;"Компания"),D516+L516,0))</f>
        <v/>
      </c>
      <c r="N516" s="21">
        <f>SUMPRODUCT(MAX((Брони!$B$2:$B$500=B516)*((Брони!$F$2:$F$500="Выдана")+(Брони!$F$2:$F$500="Возвращена"))*(Брони!$D$2:$D$500&lt;=A516)*Брони!$D$2:$D$500))</f>
        <v/>
      </c>
      <c r="O516" s="19">
        <f>SUMPRODUCT((Брони!$B$2:$B$500=B516)*(Брони!$D$2:$D$500=N516)*((((Брони!$F$2:$F$500="Выдана")*NOW())+((Брони!$F$2:$F$500="Возвращена")*Брони!$E$2:$E$500))&gt;=A516)*Брони!$A$2:$A$500)</f>
        <v/>
      </c>
      <c r="P516" s="19">
        <f>SUMPRODUCT((Брони!$B$2:$B$500=B516)*(Брони!$D$2:$D$500=N516)*(((Брони!$F$2:$F$500="Выдана")+(Брони!$F$2:$F$500="Возвращена"))))</f>
        <v/>
      </c>
      <c r="Q516" s="10" t="n"/>
    </row>
    <row r="517">
      <c r="A517" s="11" t="n"/>
      <c r="B517" s="10" t="n"/>
      <c r="C517" s="10" t="n"/>
      <c r="D517" s="14" t="n"/>
      <c r="E517" s="10" t="n"/>
      <c r="F517" s="20">
        <f>IF(OR(A517="",B517=""),"",IF(OR(NOT(ISNUMBER(A517)),ISERROR(N517+O517+P517)),"Проверьте даты",IF(AND(N517&gt;0,P517&gt;1),"Дубль",IF(AND(N517&gt;0,O517&gt;0),O517,"Вне аренды"))))</f>
        <v/>
      </c>
      <c r="G517" s="12">
        <f>IF(ISNUMBER(F517),IFERROR(INDEX(Брони!$C$2:$C$500,MATCH(F517,Брони!$A$2:$A$500,0)),""),"")</f>
        <v/>
      </c>
      <c r="H517" s="10" t="n"/>
      <c r="I517" s="18" t="n"/>
      <c r="J517" s="12">
        <f>IF(AND(ISNUMBER(F517),I517&lt;&gt;""),IFERROR(IF(AND(INDEX(Брони!$F$2:$F$500,MATCH(F517,Брони!$A$2:$A$500,0))="Возвращена",I517&gt;INDEX(Брони!$E$2:$E$500,MATCH(F517,Брони!$A$2:$A$500,0))),"Да",""),""),"")</f>
        <v/>
      </c>
      <c r="K517" s="10" t="n"/>
      <c r="L517" s="14" t="n"/>
      <c r="M517" s="15">
        <f>IF(OR(A517="",B517=""),"",IF(AND(ISNUMBER(F517),H517&lt;&gt;"Компания"),D517+L517,0))</f>
        <v/>
      </c>
      <c r="N517" s="21">
        <f>SUMPRODUCT(MAX((Брони!$B$2:$B$500=B517)*((Брони!$F$2:$F$500="Выдана")+(Брони!$F$2:$F$500="Возвращена"))*(Брони!$D$2:$D$500&lt;=A517)*Брони!$D$2:$D$500))</f>
        <v/>
      </c>
      <c r="O517" s="19">
        <f>SUMPRODUCT((Брони!$B$2:$B$500=B517)*(Брони!$D$2:$D$500=N517)*((((Брони!$F$2:$F$500="Выдана")*NOW())+((Брони!$F$2:$F$500="Возвращена")*Брони!$E$2:$E$500))&gt;=A517)*Брони!$A$2:$A$500)</f>
        <v/>
      </c>
      <c r="P517" s="19">
        <f>SUMPRODUCT((Брони!$B$2:$B$500=B517)*(Брони!$D$2:$D$500=N517)*(((Брони!$F$2:$F$500="Выдана")+(Брони!$F$2:$F$500="Возвращена"))))</f>
        <v/>
      </c>
      <c r="Q517" s="10" t="n"/>
    </row>
    <row r="518">
      <c r="A518" s="11" t="n"/>
      <c r="B518" s="10" t="n"/>
      <c r="C518" s="10" t="n"/>
      <c r="D518" s="14" t="n"/>
      <c r="E518" s="10" t="n"/>
      <c r="F518" s="20">
        <f>IF(OR(A518="",B518=""),"",IF(OR(NOT(ISNUMBER(A518)),ISERROR(N518+O518+P518)),"Проверьте даты",IF(AND(N518&gt;0,P518&gt;1),"Дубль",IF(AND(N518&gt;0,O518&gt;0),O518,"Вне аренды"))))</f>
        <v/>
      </c>
      <c r="G518" s="12">
        <f>IF(ISNUMBER(F518),IFERROR(INDEX(Брони!$C$2:$C$500,MATCH(F518,Брони!$A$2:$A$500,0)),""),"")</f>
        <v/>
      </c>
      <c r="H518" s="10" t="n"/>
      <c r="I518" s="18" t="n"/>
      <c r="J518" s="12">
        <f>IF(AND(ISNUMBER(F518),I518&lt;&gt;""),IFERROR(IF(AND(INDEX(Брони!$F$2:$F$500,MATCH(F518,Брони!$A$2:$A$500,0))="Возвращена",I518&gt;INDEX(Брони!$E$2:$E$500,MATCH(F518,Брони!$A$2:$A$500,0))),"Да",""),""),"")</f>
        <v/>
      </c>
      <c r="K518" s="10" t="n"/>
      <c r="L518" s="14" t="n"/>
      <c r="M518" s="15">
        <f>IF(OR(A518="",B518=""),"",IF(AND(ISNUMBER(F518),H518&lt;&gt;"Компания"),D518+L518,0))</f>
        <v/>
      </c>
      <c r="N518" s="21">
        <f>SUMPRODUCT(MAX((Брони!$B$2:$B$500=B518)*((Брони!$F$2:$F$500="Выдана")+(Брони!$F$2:$F$500="Возвращена"))*(Брони!$D$2:$D$500&lt;=A518)*Брони!$D$2:$D$500))</f>
        <v/>
      </c>
      <c r="O518" s="19">
        <f>SUMPRODUCT((Брони!$B$2:$B$500=B518)*(Брони!$D$2:$D$500=N518)*((((Брони!$F$2:$F$500="Выдана")*NOW())+((Брони!$F$2:$F$500="Возвращена")*Брони!$E$2:$E$500))&gt;=A518)*Брони!$A$2:$A$500)</f>
        <v/>
      </c>
      <c r="P518" s="19">
        <f>SUMPRODUCT((Брони!$B$2:$B$500=B518)*(Брони!$D$2:$D$500=N518)*(((Брони!$F$2:$F$500="Выдана")+(Брони!$F$2:$F$500="Возвращена"))))</f>
        <v/>
      </c>
      <c r="Q518" s="10" t="n"/>
    </row>
    <row r="519">
      <c r="A519" s="11" t="n"/>
      <c r="B519" s="10" t="n"/>
      <c r="C519" s="10" t="n"/>
      <c r="D519" s="14" t="n"/>
      <c r="E519" s="10" t="n"/>
      <c r="F519" s="20">
        <f>IF(OR(A519="",B519=""),"",IF(OR(NOT(ISNUMBER(A519)),ISERROR(N519+O519+P519)),"Проверьте даты",IF(AND(N519&gt;0,P519&gt;1),"Дубль",IF(AND(N519&gt;0,O519&gt;0),O519,"Вне аренды"))))</f>
        <v/>
      </c>
      <c r="G519" s="12">
        <f>IF(ISNUMBER(F519),IFERROR(INDEX(Брони!$C$2:$C$500,MATCH(F519,Брони!$A$2:$A$500,0)),""),"")</f>
        <v/>
      </c>
      <c r="H519" s="10" t="n"/>
      <c r="I519" s="18" t="n"/>
      <c r="J519" s="12">
        <f>IF(AND(ISNUMBER(F519),I519&lt;&gt;""),IFERROR(IF(AND(INDEX(Брони!$F$2:$F$500,MATCH(F519,Брони!$A$2:$A$500,0))="Возвращена",I519&gt;INDEX(Брони!$E$2:$E$500,MATCH(F519,Брони!$A$2:$A$500,0))),"Да",""),""),"")</f>
        <v/>
      </c>
      <c r="K519" s="10" t="n"/>
      <c r="L519" s="14" t="n"/>
      <c r="M519" s="15">
        <f>IF(OR(A519="",B519=""),"",IF(AND(ISNUMBER(F519),H519&lt;&gt;"Компания"),D519+L519,0))</f>
        <v/>
      </c>
      <c r="N519" s="21">
        <f>SUMPRODUCT(MAX((Брони!$B$2:$B$500=B519)*((Брони!$F$2:$F$500="Выдана")+(Брони!$F$2:$F$500="Возвращена"))*(Брони!$D$2:$D$500&lt;=A519)*Брони!$D$2:$D$500))</f>
        <v/>
      </c>
      <c r="O519" s="19">
        <f>SUMPRODUCT((Брони!$B$2:$B$500=B519)*(Брони!$D$2:$D$500=N519)*((((Брони!$F$2:$F$500="Выдана")*NOW())+((Брони!$F$2:$F$500="Возвращена")*Брони!$E$2:$E$500))&gt;=A519)*Брони!$A$2:$A$500)</f>
        <v/>
      </c>
      <c r="P519" s="19">
        <f>SUMPRODUCT((Брони!$B$2:$B$500=B519)*(Брони!$D$2:$D$500=N519)*(((Брони!$F$2:$F$500="Выдана")+(Брони!$F$2:$F$500="Возвращена"))))</f>
        <v/>
      </c>
      <c r="Q519" s="10" t="n"/>
    </row>
    <row r="520">
      <c r="A520" s="11" t="n"/>
      <c r="B520" s="10" t="n"/>
      <c r="C520" s="10" t="n"/>
      <c r="D520" s="14" t="n"/>
      <c r="E520" s="10" t="n"/>
      <c r="F520" s="20">
        <f>IF(OR(A520="",B520=""),"",IF(OR(NOT(ISNUMBER(A520)),ISERROR(N520+O520+P520)),"Проверьте даты",IF(AND(N520&gt;0,P520&gt;1),"Дубль",IF(AND(N520&gt;0,O520&gt;0),O520,"Вне аренды"))))</f>
        <v/>
      </c>
      <c r="G520" s="12">
        <f>IF(ISNUMBER(F520),IFERROR(INDEX(Брони!$C$2:$C$500,MATCH(F520,Брони!$A$2:$A$500,0)),""),"")</f>
        <v/>
      </c>
      <c r="H520" s="10" t="n"/>
      <c r="I520" s="18" t="n"/>
      <c r="J520" s="12">
        <f>IF(AND(ISNUMBER(F520),I520&lt;&gt;""),IFERROR(IF(AND(INDEX(Брони!$F$2:$F$500,MATCH(F520,Брони!$A$2:$A$500,0))="Возвращена",I520&gt;INDEX(Брони!$E$2:$E$500,MATCH(F520,Брони!$A$2:$A$500,0))),"Да",""),""),"")</f>
        <v/>
      </c>
      <c r="K520" s="10" t="n"/>
      <c r="L520" s="14" t="n"/>
      <c r="M520" s="15">
        <f>IF(OR(A520="",B520=""),"",IF(AND(ISNUMBER(F520),H520&lt;&gt;"Компания"),D520+L520,0))</f>
        <v/>
      </c>
      <c r="N520" s="21">
        <f>SUMPRODUCT(MAX((Брони!$B$2:$B$500=B520)*((Брони!$F$2:$F$500="Выдана")+(Брони!$F$2:$F$500="Возвращена"))*(Брони!$D$2:$D$500&lt;=A520)*Брони!$D$2:$D$500))</f>
        <v/>
      </c>
      <c r="O520" s="19">
        <f>SUMPRODUCT((Брони!$B$2:$B$500=B520)*(Брони!$D$2:$D$500=N520)*((((Брони!$F$2:$F$500="Выдана")*NOW())+((Брони!$F$2:$F$500="Возвращена")*Брони!$E$2:$E$500))&gt;=A520)*Брони!$A$2:$A$500)</f>
        <v/>
      </c>
      <c r="P520" s="19">
        <f>SUMPRODUCT((Брони!$B$2:$B$500=B520)*(Брони!$D$2:$D$500=N520)*(((Брони!$F$2:$F$500="Выдана")+(Брони!$F$2:$F$500="Возвращена"))))</f>
        <v/>
      </c>
      <c r="Q520" s="10" t="n"/>
    </row>
    <row r="521">
      <c r="A521" s="11" t="n"/>
      <c r="B521" s="10" t="n"/>
      <c r="C521" s="10" t="n"/>
      <c r="D521" s="14" t="n"/>
      <c r="E521" s="10" t="n"/>
      <c r="F521" s="20">
        <f>IF(OR(A521="",B521=""),"",IF(OR(NOT(ISNUMBER(A521)),ISERROR(N521+O521+P521)),"Проверьте даты",IF(AND(N521&gt;0,P521&gt;1),"Дубль",IF(AND(N521&gt;0,O521&gt;0),O521,"Вне аренды"))))</f>
        <v/>
      </c>
      <c r="G521" s="12">
        <f>IF(ISNUMBER(F521),IFERROR(INDEX(Брони!$C$2:$C$500,MATCH(F521,Брони!$A$2:$A$500,0)),""),"")</f>
        <v/>
      </c>
      <c r="H521" s="10" t="n"/>
      <c r="I521" s="18" t="n"/>
      <c r="J521" s="12">
        <f>IF(AND(ISNUMBER(F521),I521&lt;&gt;""),IFERROR(IF(AND(INDEX(Брони!$F$2:$F$500,MATCH(F521,Брони!$A$2:$A$500,0))="Возвращена",I521&gt;INDEX(Брони!$E$2:$E$500,MATCH(F521,Брони!$A$2:$A$500,0))),"Да",""),""),"")</f>
        <v/>
      </c>
      <c r="K521" s="10" t="n"/>
      <c r="L521" s="14" t="n"/>
      <c r="M521" s="15">
        <f>IF(OR(A521="",B521=""),"",IF(AND(ISNUMBER(F521),H521&lt;&gt;"Компания"),D521+L521,0))</f>
        <v/>
      </c>
      <c r="N521" s="21">
        <f>SUMPRODUCT(MAX((Брони!$B$2:$B$500=B521)*((Брони!$F$2:$F$500="Выдана")+(Брони!$F$2:$F$500="Возвращена"))*(Брони!$D$2:$D$500&lt;=A521)*Брони!$D$2:$D$500))</f>
        <v/>
      </c>
      <c r="O521" s="19">
        <f>SUMPRODUCT((Брони!$B$2:$B$500=B521)*(Брони!$D$2:$D$500=N521)*((((Брони!$F$2:$F$500="Выдана")*NOW())+((Брони!$F$2:$F$500="Возвращена")*Брони!$E$2:$E$500))&gt;=A521)*Брони!$A$2:$A$500)</f>
        <v/>
      </c>
      <c r="P521" s="19">
        <f>SUMPRODUCT((Брони!$B$2:$B$500=B521)*(Брони!$D$2:$D$500=N521)*(((Брони!$F$2:$F$500="Выдана")+(Брони!$F$2:$F$500="Возвращена"))))</f>
        <v/>
      </c>
      <c r="Q521" s="10" t="n"/>
    </row>
    <row r="522">
      <c r="A522" s="11" t="n"/>
      <c r="B522" s="10" t="n"/>
      <c r="C522" s="10" t="n"/>
      <c r="D522" s="14" t="n"/>
      <c r="E522" s="10" t="n"/>
      <c r="F522" s="20">
        <f>IF(OR(A522="",B522=""),"",IF(OR(NOT(ISNUMBER(A522)),ISERROR(N522+O522+P522)),"Проверьте даты",IF(AND(N522&gt;0,P522&gt;1),"Дубль",IF(AND(N522&gt;0,O522&gt;0),O522,"Вне аренды"))))</f>
        <v/>
      </c>
      <c r="G522" s="12">
        <f>IF(ISNUMBER(F522),IFERROR(INDEX(Брони!$C$2:$C$500,MATCH(F522,Брони!$A$2:$A$500,0)),""),"")</f>
        <v/>
      </c>
      <c r="H522" s="10" t="n"/>
      <c r="I522" s="18" t="n"/>
      <c r="J522" s="12">
        <f>IF(AND(ISNUMBER(F522),I522&lt;&gt;""),IFERROR(IF(AND(INDEX(Брони!$F$2:$F$500,MATCH(F522,Брони!$A$2:$A$500,0))="Возвращена",I522&gt;INDEX(Брони!$E$2:$E$500,MATCH(F522,Брони!$A$2:$A$500,0))),"Да",""),""),"")</f>
        <v/>
      </c>
      <c r="K522" s="10" t="n"/>
      <c r="L522" s="14" t="n"/>
      <c r="M522" s="15">
        <f>IF(OR(A522="",B522=""),"",IF(AND(ISNUMBER(F522),H522&lt;&gt;"Компания"),D522+L522,0))</f>
        <v/>
      </c>
      <c r="N522" s="21">
        <f>SUMPRODUCT(MAX((Брони!$B$2:$B$500=B522)*((Брони!$F$2:$F$500="Выдана")+(Брони!$F$2:$F$500="Возвращена"))*(Брони!$D$2:$D$500&lt;=A522)*Брони!$D$2:$D$500))</f>
        <v/>
      </c>
      <c r="O522" s="19">
        <f>SUMPRODUCT((Брони!$B$2:$B$500=B522)*(Брони!$D$2:$D$500=N522)*((((Брони!$F$2:$F$500="Выдана")*NOW())+((Брони!$F$2:$F$500="Возвращена")*Брони!$E$2:$E$500))&gt;=A522)*Брони!$A$2:$A$500)</f>
        <v/>
      </c>
      <c r="P522" s="19">
        <f>SUMPRODUCT((Брони!$B$2:$B$500=B522)*(Брони!$D$2:$D$500=N522)*(((Брони!$F$2:$F$500="Выдана")+(Брони!$F$2:$F$500="Возвращена"))))</f>
        <v/>
      </c>
      <c r="Q522" s="10" t="n"/>
    </row>
    <row r="523">
      <c r="A523" s="11" t="n"/>
      <c r="B523" s="10" t="n"/>
      <c r="C523" s="10" t="n"/>
      <c r="D523" s="14" t="n"/>
      <c r="E523" s="10" t="n"/>
      <c r="F523" s="20">
        <f>IF(OR(A523="",B523=""),"",IF(OR(NOT(ISNUMBER(A523)),ISERROR(N523+O523+P523)),"Проверьте даты",IF(AND(N523&gt;0,P523&gt;1),"Дубль",IF(AND(N523&gt;0,O523&gt;0),O523,"Вне аренды"))))</f>
        <v/>
      </c>
      <c r="G523" s="12">
        <f>IF(ISNUMBER(F523),IFERROR(INDEX(Брони!$C$2:$C$500,MATCH(F523,Брони!$A$2:$A$500,0)),""),"")</f>
        <v/>
      </c>
      <c r="H523" s="10" t="n"/>
      <c r="I523" s="18" t="n"/>
      <c r="J523" s="12">
        <f>IF(AND(ISNUMBER(F523),I523&lt;&gt;""),IFERROR(IF(AND(INDEX(Брони!$F$2:$F$500,MATCH(F523,Брони!$A$2:$A$500,0))="Возвращена",I523&gt;INDEX(Брони!$E$2:$E$500,MATCH(F523,Брони!$A$2:$A$500,0))),"Да",""),""),"")</f>
        <v/>
      </c>
      <c r="K523" s="10" t="n"/>
      <c r="L523" s="14" t="n"/>
      <c r="M523" s="15">
        <f>IF(OR(A523="",B523=""),"",IF(AND(ISNUMBER(F523),H523&lt;&gt;"Компания"),D523+L523,0))</f>
        <v/>
      </c>
      <c r="N523" s="21">
        <f>SUMPRODUCT(MAX((Брони!$B$2:$B$500=B523)*((Брони!$F$2:$F$500="Выдана")+(Брони!$F$2:$F$500="Возвращена"))*(Брони!$D$2:$D$500&lt;=A523)*Брони!$D$2:$D$500))</f>
        <v/>
      </c>
      <c r="O523" s="19">
        <f>SUMPRODUCT((Брони!$B$2:$B$500=B523)*(Брони!$D$2:$D$500=N523)*((((Брони!$F$2:$F$500="Выдана")*NOW())+((Брони!$F$2:$F$500="Возвращена")*Брони!$E$2:$E$500))&gt;=A523)*Брони!$A$2:$A$500)</f>
        <v/>
      </c>
      <c r="P523" s="19">
        <f>SUMPRODUCT((Брони!$B$2:$B$500=B523)*(Брони!$D$2:$D$500=N523)*(((Брони!$F$2:$F$500="Выдана")+(Брони!$F$2:$F$500="Возвращена"))))</f>
        <v/>
      </c>
      <c r="Q523" s="10" t="n"/>
    </row>
    <row r="524">
      <c r="A524" s="11" t="n"/>
      <c r="B524" s="10" t="n"/>
      <c r="C524" s="10" t="n"/>
      <c r="D524" s="14" t="n"/>
      <c r="E524" s="10" t="n"/>
      <c r="F524" s="20">
        <f>IF(OR(A524="",B524=""),"",IF(OR(NOT(ISNUMBER(A524)),ISERROR(N524+O524+P524)),"Проверьте даты",IF(AND(N524&gt;0,P524&gt;1),"Дубль",IF(AND(N524&gt;0,O524&gt;0),O524,"Вне аренды"))))</f>
        <v/>
      </c>
      <c r="G524" s="12">
        <f>IF(ISNUMBER(F524),IFERROR(INDEX(Брони!$C$2:$C$500,MATCH(F524,Брони!$A$2:$A$500,0)),""),"")</f>
        <v/>
      </c>
      <c r="H524" s="10" t="n"/>
      <c r="I524" s="18" t="n"/>
      <c r="J524" s="12">
        <f>IF(AND(ISNUMBER(F524),I524&lt;&gt;""),IFERROR(IF(AND(INDEX(Брони!$F$2:$F$500,MATCH(F524,Брони!$A$2:$A$500,0))="Возвращена",I524&gt;INDEX(Брони!$E$2:$E$500,MATCH(F524,Брони!$A$2:$A$500,0))),"Да",""),""),"")</f>
        <v/>
      </c>
      <c r="K524" s="10" t="n"/>
      <c r="L524" s="14" t="n"/>
      <c r="M524" s="15">
        <f>IF(OR(A524="",B524=""),"",IF(AND(ISNUMBER(F524),H524&lt;&gt;"Компания"),D524+L524,0))</f>
        <v/>
      </c>
      <c r="N524" s="21">
        <f>SUMPRODUCT(MAX((Брони!$B$2:$B$500=B524)*((Брони!$F$2:$F$500="Выдана")+(Брони!$F$2:$F$500="Возвращена"))*(Брони!$D$2:$D$500&lt;=A524)*Брони!$D$2:$D$500))</f>
        <v/>
      </c>
      <c r="O524" s="19">
        <f>SUMPRODUCT((Брони!$B$2:$B$500=B524)*(Брони!$D$2:$D$500=N524)*((((Брони!$F$2:$F$500="Выдана")*NOW())+((Брони!$F$2:$F$500="Возвращена")*Брони!$E$2:$E$500))&gt;=A524)*Брони!$A$2:$A$500)</f>
        <v/>
      </c>
      <c r="P524" s="19">
        <f>SUMPRODUCT((Брони!$B$2:$B$500=B524)*(Брони!$D$2:$D$500=N524)*(((Брони!$F$2:$F$500="Выдана")+(Брони!$F$2:$F$500="Возвращена"))))</f>
        <v/>
      </c>
      <c r="Q524" s="10" t="n"/>
    </row>
    <row r="525">
      <c r="A525" s="11" t="n"/>
      <c r="B525" s="10" t="n"/>
      <c r="C525" s="10" t="n"/>
      <c r="D525" s="14" t="n"/>
      <c r="E525" s="10" t="n"/>
      <c r="F525" s="20">
        <f>IF(OR(A525="",B525=""),"",IF(OR(NOT(ISNUMBER(A525)),ISERROR(N525+O525+P525)),"Проверьте даты",IF(AND(N525&gt;0,P525&gt;1),"Дубль",IF(AND(N525&gt;0,O525&gt;0),O525,"Вне аренды"))))</f>
        <v/>
      </c>
      <c r="G525" s="12">
        <f>IF(ISNUMBER(F525),IFERROR(INDEX(Брони!$C$2:$C$500,MATCH(F525,Брони!$A$2:$A$500,0)),""),"")</f>
        <v/>
      </c>
      <c r="H525" s="10" t="n"/>
      <c r="I525" s="18" t="n"/>
      <c r="J525" s="12">
        <f>IF(AND(ISNUMBER(F525),I525&lt;&gt;""),IFERROR(IF(AND(INDEX(Брони!$F$2:$F$500,MATCH(F525,Брони!$A$2:$A$500,0))="Возвращена",I525&gt;INDEX(Брони!$E$2:$E$500,MATCH(F525,Брони!$A$2:$A$500,0))),"Да",""),""),"")</f>
        <v/>
      </c>
      <c r="K525" s="10" t="n"/>
      <c r="L525" s="14" t="n"/>
      <c r="M525" s="15">
        <f>IF(OR(A525="",B525=""),"",IF(AND(ISNUMBER(F525),H525&lt;&gt;"Компания"),D525+L525,0))</f>
        <v/>
      </c>
      <c r="N525" s="21">
        <f>SUMPRODUCT(MAX((Брони!$B$2:$B$500=B525)*((Брони!$F$2:$F$500="Выдана")+(Брони!$F$2:$F$500="Возвращена"))*(Брони!$D$2:$D$500&lt;=A525)*Брони!$D$2:$D$500))</f>
        <v/>
      </c>
      <c r="O525" s="19">
        <f>SUMPRODUCT((Брони!$B$2:$B$500=B525)*(Брони!$D$2:$D$500=N525)*((((Брони!$F$2:$F$500="Выдана")*NOW())+((Брони!$F$2:$F$500="Возвращена")*Брони!$E$2:$E$500))&gt;=A525)*Брони!$A$2:$A$500)</f>
        <v/>
      </c>
      <c r="P525" s="19">
        <f>SUMPRODUCT((Брони!$B$2:$B$500=B525)*(Брони!$D$2:$D$500=N525)*(((Брони!$F$2:$F$500="Выдана")+(Брони!$F$2:$F$500="Возвращена"))))</f>
        <v/>
      </c>
      <c r="Q525" s="10" t="n"/>
    </row>
    <row r="526">
      <c r="A526" s="11" t="n"/>
      <c r="B526" s="10" t="n"/>
      <c r="C526" s="10" t="n"/>
      <c r="D526" s="14" t="n"/>
      <c r="E526" s="10" t="n"/>
      <c r="F526" s="20">
        <f>IF(OR(A526="",B526=""),"",IF(OR(NOT(ISNUMBER(A526)),ISERROR(N526+O526+P526)),"Проверьте даты",IF(AND(N526&gt;0,P526&gt;1),"Дубль",IF(AND(N526&gt;0,O526&gt;0),O526,"Вне аренды"))))</f>
        <v/>
      </c>
      <c r="G526" s="12">
        <f>IF(ISNUMBER(F526),IFERROR(INDEX(Брони!$C$2:$C$500,MATCH(F526,Брони!$A$2:$A$500,0)),""),"")</f>
        <v/>
      </c>
      <c r="H526" s="10" t="n"/>
      <c r="I526" s="18" t="n"/>
      <c r="J526" s="12">
        <f>IF(AND(ISNUMBER(F526),I526&lt;&gt;""),IFERROR(IF(AND(INDEX(Брони!$F$2:$F$500,MATCH(F526,Брони!$A$2:$A$500,0))="Возвращена",I526&gt;INDEX(Брони!$E$2:$E$500,MATCH(F526,Брони!$A$2:$A$500,0))),"Да",""),""),"")</f>
        <v/>
      </c>
      <c r="K526" s="10" t="n"/>
      <c r="L526" s="14" t="n"/>
      <c r="M526" s="15">
        <f>IF(OR(A526="",B526=""),"",IF(AND(ISNUMBER(F526),H526&lt;&gt;"Компания"),D526+L526,0))</f>
        <v/>
      </c>
      <c r="N526" s="21">
        <f>SUMPRODUCT(MAX((Брони!$B$2:$B$500=B526)*((Брони!$F$2:$F$500="Выдана")+(Брони!$F$2:$F$500="Возвращена"))*(Брони!$D$2:$D$500&lt;=A526)*Брони!$D$2:$D$500))</f>
        <v/>
      </c>
      <c r="O526" s="19">
        <f>SUMPRODUCT((Брони!$B$2:$B$500=B526)*(Брони!$D$2:$D$500=N526)*((((Брони!$F$2:$F$500="Выдана")*NOW())+((Брони!$F$2:$F$500="Возвращена")*Брони!$E$2:$E$500))&gt;=A526)*Брони!$A$2:$A$500)</f>
        <v/>
      </c>
      <c r="P526" s="19">
        <f>SUMPRODUCT((Брони!$B$2:$B$500=B526)*(Брони!$D$2:$D$500=N526)*(((Брони!$F$2:$F$500="Выдана")+(Брони!$F$2:$F$500="Возвращена"))))</f>
        <v/>
      </c>
      <c r="Q526" s="10" t="n"/>
    </row>
    <row r="527">
      <c r="A527" s="11" t="n"/>
      <c r="B527" s="10" t="n"/>
      <c r="C527" s="10" t="n"/>
      <c r="D527" s="14" t="n"/>
      <c r="E527" s="10" t="n"/>
      <c r="F527" s="20">
        <f>IF(OR(A527="",B527=""),"",IF(OR(NOT(ISNUMBER(A527)),ISERROR(N527+O527+P527)),"Проверьте даты",IF(AND(N527&gt;0,P527&gt;1),"Дубль",IF(AND(N527&gt;0,O527&gt;0),O527,"Вне аренды"))))</f>
        <v/>
      </c>
      <c r="G527" s="12">
        <f>IF(ISNUMBER(F527),IFERROR(INDEX(Брони!$C$2:$C$500,MATCH(F527,Брони!$A$2:$A$500,0)),""),"")</f>
        <v/>
      </c>
      <c r="H527" s="10" t="n"/>
      <c r="I527" s="18" t="n"/>
      <c r="J527" s="12">
        <f>IF(AND(ISNUMBER(F527),I527&lt;&gt;""),IFERROR(IF(AND(INDEX(Брони!$F$2:$F$500,MATCH(F527,Брони!$A$2:$A$500,0))="Возвращена",I527&gt;INDEX(Брони!$E$2:$E$500,MATCH(F527,Брони!$A$2:$A$500,0))),"Да",""),""),"")</f>
        <v/>
      </c>
      <c r="K527" s="10" t="n"/>
      <c r="L527" s="14" t="n"/>
      <c r="M527" s="15">
        <f>IF(OR(A527="",B527=""),"",IF(AND(ISNUMBER(F527),H527&lt;&gt;"Компания"),D527+L527,0))</f>
        <v/>
      </c>
      <c r="N527" s="21">
        <f>SUMPRODUCT(MAX((Брони!$B$2:$B$500=B527)*((Брони!$F$2:$F$500="Выдана")+(Брони!$F$2:$F$500="Возвращена"))*(Брони!$D$2:$D$500&lt;=A527)*Брони!$D$2:$D$500))</f>
        <v/>
      </c>
      <c r="O527" s="19">
        <f>SUMPRODUCT((Брони!$B$2:$B$500=B527)*(Брони!$D$2:$D$500=N527)*((((Брони!$F$2:$F$500="Выдана")*NOW())+((Брони!$F$2:$F$500="Возвращена")*Брони!$E$2:$E$500))&gt;=A527)*Брони!$A$2:$A$500)</f>
        <v/>
      </c>
      <c r="P527" s="19">
        <f>SUMPRODUCT((Брони!$B$2:$B$500=B527)*(Брони!$D$2:$D$500=N527)*(((Брони!$F$2:$F$500="Выдана")+(Брони!$F$2:$F$500="Возвращена"))))</f>
        <v/>
      </c>
      <c r="Q527" s="10" t="n"/>
    </row>
    <row r="528">
      <c r="A528" s="11" t="n"/>
      <c r="B528" s="10" t="n"/>
      <c r="C528" s="10" t="n"/>
      <c r="D528" s="14" t="n"/>
      <c r="E528" s="10" t="n"/>
      <c r="F528" s="20">
        <f>IF(OR(A528="",B528=""),"",IF(OR(NOT(ISNUMBER(A528)),ISERROR(N528+O528+P528)),"Проверьте даты",IF(AND(N528&gt;0,P528&gt;1),"Дубль",IF(AND(N528&gt;0,O528&gt;0),O528,"Вне аренды"))))</f>
        <v/>
      </c>
      <c r="G528" s="12">
        <f>IF(ISNUMBER(F528),IFERROR(INDEX(Брони!$C$2:$C$500,MATCH(F528,Брони!$A$2:$A$500,0)),""),"")</f>
        <v/>
      </c>
      <c r="H528" s="10" t="n"/>
      <c r="I528" s="18" t="n"/>
      <c r="J528" s="12">
        <f>IF(AND(ISNUMBER(F528),I528&lt;&gt;""),IFERROR(IF(AND(INDEX(Брони!$F$2:$F$500,MATCH(F528,Брони!$A$2:$A$500,0))="Возвращена",I528&gt;INDEX(Брони!$E$2:$E$500,MATCH(F528,Брони!$A$2:$A$500,0))),"Да",""),""),"")</f>
        <v/>
      </c>
      <c r="K528" s="10" t="n"/>
      <c r="L528" s="14" t="n"/>
      <c r="M528" s="15">
        <f>IF(OR(A528="",B528=""),"",IF(AND(ISNUMBER(F528),H528&lt;&gt;"Компания"),D528+L528,0))</f>
        <v/>
      </c>
      <c r="N528" s="21">
        <f>SUMPRODUCT(MAX((Брони!$B$2:$B$500=B528)*((Брони!$F$2:$F$500="Выдана")+(Брони!$F$2:$F$500="Возвращена"))*(Брони!$D$2:$D$500&lt;=A528)*Брони!$D$2:$D$500))</f>
        <v/>
      </c>
      <c r="O528" s="19">
        <f>SUMPRODUCT((Брони!$B$2:$B$500=B528)*(Брони!$D$2:$D$500=N528)*((((Брони!$F$2:$F$500="Выдана")*NOW())+((Брони!$F$2:$F$500="Возвращена")*Брони!$E$2:$E$500))&gt;=A528)*Брони!$A$2:$A$500)</f>
        <v/>
      </c>
      <c r="P528" s="19">
        <f>SUMPRODUCT((Брони!$B$2:$B$500=B528)*(Брони!$D$2:$D$500=N528)*(((Брони!$F$2:$F$500="Выдана")+(Брони!$F$2:$F$500="Возвращена"))))</f>
        <v/>
      </c>
      <c r="Q528" s="10" t="n"/>
    </row>
    <row r="529">
      <c r="A529" s="11" t="n"/>
      <c r="B529" s="10" t="n"/>
      <c r="C529" s="10" t="n"/>
      <c r="D529" s="14" t="n"/>
      <c r="E529" s="10" t="n"/>
      <c r="F529" s="20">
        <f>IF(OR(A529="",B529=""),"",IF(OR(NOT(ISNUMBER(A529)),ISERROR(N529+O529+P529)),"Проверьте даты",IF(AND(N529&gt;0,P529&gt;1),"Дубль",IF(AND(N529&gt;0,O529&gt;0),O529,"Вне аренды"))))</f>
        <v/>
      </c>
      <c r="G529" s="12">
        <f>IF(ISNUMBER(F529),IFERROR(INDEX(Брони!$C$2:$C$500,MATCH(F529,Брони!$A$2:$A$500,0)),""),"")</f>
        <v/>
      </c>
      <c r="H529" s="10" t="n"/>
      <c r="I529" s="18" t="n"/>
      <c r="J529" s="12">
        <f>IF(AND(ISNUMBER(F529),I529&lt;&gt;""),IFERROR(IF(AND(INDEX(Брони!$F$2:$F$500,MATCH(F529,Брони!$A$2:$A$500,0))="Возвращена",I529&gt;INDEX(Брони!$E$2:$E$500,MATCH(F529,Брони!$A$2:$A$500,0))),"Да",""),""),"")</f>
        <v/>
      </c>
      <c r="K529" s="10" t="n"/>
      <c r="L529" s="14" t="n"/>
      <c r="M529" s="15">
        <f>IF(OR(A529="",B529=""),"",IF(AND(ISNUMBER(F529),H529&lt;&gt;"Компания"),D529+L529,0))</f>
        <v/>
      </c>
      <c r="N529" s="21">
        <f>SUMPRODUCT(MAX((Брони!$B$2:$B$500=B529)*((Брони!$F$2:$F$500="Выдана")+(Брони!$F$2:$F$500="Возвращена"))*(Брони!$D$2:$D$500&lt;=A529)*Брони!$D$2:$D$500))</f>
        <v/>
      </c>
      <c r="O529" s="19">
        <f>SUMPRODUCT((Брони!$B$2:$B$500=B529)*(Брони!$D$2:$D$500=N529)*((((Брони!$F$2:$F$500="Выдана")*NOW())+((Брони!$F$2:$F$500="Возвращена")*Брони!$E$2:$E$500))&gt;=A529)*Брони!$A$2:$A$500)</f>
        <v/>
      </c>
      <c r="P529" s="19">
        <f>SUMPRODUCT((Брони!$B$2:$B$500=B529)*(Брони!$D$2:$D$500=N529)*(((Брони!$F$2:$F$500="Выдана")+(Брони!$F$2:$F$500="Возвращена"))))</f>
        <v/>
      </c>
      <c r="Q529" s="10" t="n"/>
    </row>
    <row r="530">
      <c r="A530" s="11" t="n"/>
      <c r="B530" s="10" t="n"/>
      <c r="C530" s="10" t="n"/>
      <c r="D530" s="14" t="n"/>
      <c r="E530" s="10" t="n"/>
      <c r="F530" s="20">
        <f>IF(OR(A530="",B530=""),"",IF(OR(NOT(ISNUMBER(A530)),ISERROR(N530+O530+P530)),"Проверьте даты",IF(AND(N530&gt;0,P530&gt;1),"Дубль",IF(AND(N530&gt;0,O530&gt;0),O530,"Вне аренды"))))</f>
        <v/>
      </c>
      <c r="G530" s="12">
        <f>IF(ISNUMBER(F530),IFERROR(INDEX(Брони!$C$2:$C$500,MATCH(F530,Брони!$A$2:$A$500,0)),""),"")</f>
        <v/>
      </c>
      <c r="H530" s="10" t="n"/>
      <c r="I530" s="18" t="n"/>
      <c r="J530" s="12">
        <f>IF(AND(ISNUMBER(F530),I530&lt;&gt;""),IFERROR(IF(AND(INDEX(Брони!$F$2:$F$500,MATCH(F530,Брони!$A$2:$A$500,0))="Возвращена",I530&gt;INDEX(Брони!$E$2:$E$500,MATCH(F530,Брони!$A$2:$A$500,0))),"Да",""),""),"")</f>
        <v/>
      </c>
      <c r="K530" s="10" t="n"/>
      <c r="L530" s="14" t="n"/>
      <c r="M530" s="15">
        <f>IF(OR(A530="",B530=""),"",IF(AND(ISNUMBER(F530),H530&lt;&gt;"Компания"),D530+L530,0))</f>
        <v/>
      </c>
      <c r="N530" s="21">
        <f>SUMPRODUCT(MAX((Брони!$B$2:$B$500=B530)*((Брони!$F$2:$F$500="Выдана")+(Брони!$F$2:$F$500="Возвращена"))*(Брони!$D$2:$D$500&lt;=A530)*Брони!$D$2:$D$500))</f>
        <v/>
      </c>
      <c r="O530" s="19">
        <f>SUMPRODUCT((Брони!$B$2:$B$500=B530)*(Брони!$D$2:$D$500=N530)*((((Брони!$F$2:$F$500="Выдана")*NOW())+((Брони!$F$2:$F$500="Возвращена")*Брони!$E$2:$E$500))&gt;=A530)*Брони!$A$2:$A$500)</f>
        <v/>
      </c>
      <c r="P530" s="19">
        <f>SUMPRODUCT((Брони!$B$2:$B$500=B530)*(Брони!$D$2:$D$500=N530)*(((Брони!$F$2:$F$500="Выдана")+(Брони!$F$2:$F$500="Возвращена"))))</f>
        <v/>
      </c>
      <c r="Q530" s="10" t="n"/>
    </row>
    <row r="531">
      <c r="A531" s="11" t="n"/>
      <c r="B531" s="10" t="n"/>
      <c r="C531" s="10" t="n"/>
      <c r="D531" s="14" t="n"/>
      <c r="E531" s="10" t="n"/>
      <c r="F531" s="20">
        <f>IF(OR(A531="",B531=""),"",IF(OR(NOT(ISNUMBER(A531)),ISERROR(N531+O531+P531)),"Проверьте даты",IF(AND(N531&gt;0,P531&gt;1),"Дубль",IF(AND(N531&gt;0,O531&gt;0),O531,"Вне аренды"))))</f>
        <v/>
      </c>
      <c r="G531" s="12">
        <f>IF(ISNUMBER(F531),IFERROR(INDEX(Брони!$C$2:$C$500,MATCH(F531,Брони!$A$2:$A$500,0)),""),"")</f>
        <v/>
      </c>
      <c r="H531" s="10" t="n"/>
      <c r="I531" s="18" t="n"/>
      <c r="J531" s="12">
        <f>IF(AND(ISNUMBER(F531),I531&lt;&gt;""),IFERROR(IF(AND(INDEX(Брони!$F$2:$F$500,MATCH(F531,Брони!$A$2:$A$500,0))="Возвращена",I531&gt;INDEX(Брони!$E$2:$E$500,MATCH(F531,Брони!$A$2:$A$500,0))),"Да",""),""),"")</f>
        <v/>
      </c>
      <c r="K531" s="10" t="n"/>
      <c r="L531" s="14" t="n"/>
      <c r="M531" s="15">
        <f>IF(OR(A531="",B531=""),"",IF(AND(ISNUMBER(F531),H531&lt;&gt;"Компания"),D531+L531,0))</f>
        <v/>
      </c>
      <c r="N531" s="21">
        <f>SUMPRODUCT(MAX((Брони!$B$2:$B$500=B531)*((Брони!$F$2:$F$500="Выдана")+(Брони!$F$2:$F$500="Возвращена"))*(Брони!$D$2:$D$500&lt;=A531)*Брони!$D$2:$D$500))</f>
        <v/>
      </c>
      <c r="O531" s="19">
        <f>SUMPRODUCT((Брони!$B$2:$B$500=B531)*(Брони!$D$2:$D$500=N531)*((((Брони!$F$2:$F$500="Выдана")*NOW())+((Брони!$F$2:$F$500="Возвращена")*Брони!$E$2:$E$500))&gt;=A531)*Брони!$A$2:$A$500)</f>
        <v/>
      </c>
      <c r="P531" s="19">
        <f>SUMPRODUCT((Брони!$B$2:$B$500=B531)*(Брони!$D$2:$D$500=N531)*(((Брони!$F$2:$F$500="Выдана")+(Брони!$F$2:$F$500="Возвращена"))))</f>
        <v/>
      </c>
      <c r="Q531" s="10" t="n"/>
    </row>
    <row r="532">
      <c r="A532" s="11" t="n"/>
      <c r="B532" s="10" t="n"/>
      <c r="C532" s="10" t="n"/>
      <c r="D532" s="14" t="n"/>
      <c r="E532" s="10" t="n"/>
      <c r="F532" s="20">
        <f>IF(OR(A532="",B532=""),"",IF(OR(NOT(ISNUMBER(A532)),ISERROR(N532+O532+P532)),"Проверьте даты",IF(AND(N532&gt;0,P532&gt;1),"Дубль",IF(AND(N532&gt;0,O532&gt;0),O532,"Вне аренды"))))</f>
        <v/>
      </c>
      <c r="G532" s="12">
        <f>IF(ISNUMBER(F532),IFERROR(INDEX(Брони!$C$2:$C$500,MATCH(F532,Брони!$A$2:$A$500,0)),""),"")</f>
        <v/>
      </c>
      <c r="H532" s="10" t="n"/>
      <c r="I532" s="18" t="n"/>
      <c r="J532" s="12">
        <f>IF(AND(ISNUMBER(F532),I532&lt;&gt;""),IFERROR(IF(AND(INDEX(Брони!$F$2:$F$500,MATCH(F532,Брони!$A$2:$A$500,0))="Возвращена",I532&gt;INDEX(Брони!$E$2:$E$500,MATCH(F532,Брони!$A$2:$A$500,0))),"Да",""),""),"")</f>
        <v/>
      </c>
      <c r="K532" s="10" t="n"/>
      <c r="L532" s="14" t="n"/>
      <c r="M532" s="15">
        <f>IF(OR(A532="",B532=""),"",IF(AND(ISNUMBER(F532),H532&lt;&gt;"Компания"),D532+L532,0))</f>
        <v/>
      </c>
      <c r="N532" s="21">
        <f>SUMPRODUCT(MAX((Брони!$B$2:$B$500=B532)*((Брони!$F$2:$F$500="Выдана")+(Брони!$F$2:$F$500="Возвращена"))*(Брони!$D$2:$D$500&lt;=A532)*Брони!$D$2:$D$500))</f>
        <v/>
      </c>
      <c r="O532" s="19">
        <f>SUMPRODUCT((Брони!$B$2:$B$500=B532)*(Брони!$D$2:$D$500=N532)*((((Брони!$F$2:$F$500="Выдана")*NOW())+((Брони!$F$2:$F$500="Возвращена")*Брони!$E$2:$E$500))&gt;=A532)*Брони!$A$2:$A$500)</f>
        <v/>
      </c>
      <c r="P532" s="19">
        <f>SUMPRODUCT((Брони!$B$2:$B$500=B532)*(Брони!$D$2:$D$500=N532)*(((Брони!$F$2:$F$500="Выдана")+(Брони!$F$2:$F$500="Возвращена"))))</f>
        <v/>
      </c>
      <c r="Q532" s="10" t="n"/>
    </row>
    <row r="533">
      <c r="A533" s="11" t="n"/>
      <c r="B533" s="10" t="n"/>
      <c r="C533" s="10" t="n"/>
      <c r="D533" s="14" t="n"/>
      <c r="E533" s="10" t="n"/>
      <c r="F533" s="20">
        <f>IF(OR(A533="",B533=""),"",IF(OR(NOT(ISNUMBER(A533)),ISERROR(N533+O533+P533)),"Проверьте даты",IF(AND(N533&gt;0,P533&gt;1),"Дубль",IF(AND(N533&gt;0,O533&gt;0),O533,"Вне аренды"))))</f>
        <v/>
      </c>
      <c r="G533" s="12">
        <f>IF(ISNUMBER(F533),IFERROR(INDEX(Брони!$C$2:$C$500,MATCH(F533,Брони!$A$2:$A$500,0)),""),"")</f>
        <v/>
      </c>
      <c r="H533" s="10" t="n"/>
      <c r="I533" s="18" t="n"/>
      <c r="J533" s="12">
        <f>IF(AND(ISNUMBER(F533),I533&lt;&gt;""),IFERROR(IF(AND(INDEX(Брони!$F$2:$F$500,MATCH(F533,Брони!$A$2:$A$500,0))="Возвращена",I533&gt;INDEX(Брони!$E$2:$E$500,MATCH(F533,Брони!$A$2:$A$500,0))),"Да",""),""),"")</f>
        <v/>
      </c>
      <c r="K533" s="10" t="n"/>
      <c r="L533" s="14" t="n"/>
      <c r="M533" s="15">
        <f>IF(OR(A533="",B533=""),"",IF(AND(ISNUMBER(F533),H533&lt;&gt;"Компания"),D533+L533,0))</f>
        <v/>
      </c>
      <c r="N533" s="21">
        <f>SUMPRODUCT(MAX((Брони!$B$2:$B$500=B533)*((Брони!$F$2:$F$500="Выдана")+(Брони!$F$2:$F$500="Возвращена"))*(Брони!$D$2:$D$500&lt;=A533)*Брони!$D$2:$D$500))</f>
        <v/>
      </c>
      <c r="O533" s="19">
        <f>SUMPRODUCT((Брони!$B$2:$B$500=B533)*(Брони!$D$2:$D$500=N533)*((((Брони!$F$2:$F$500="Выдана")*NOW())+((Брони!$F$2:$F$500="Возвращена")*Брони!$E$2:$E$500))&gt;=A533)*Брони!$A$2:$A$500)</f>
        <v/>
      </c>
      <c r="P533" s="19">
        <f>SUMPRODUCT((Брони!$B$2:$B$500=B533)*(Брони!$D$2:$D$500=N533)*(((Брони!$F$2:$F$500="Выдана")+(Брони!$F$2:$F$500="Возвращена"))))</f>
        <v/>
      </c>
      <c r="Q533" s="10" t="n"/>
    </row>
    <row r="534">
      <c r="A534" s="11" t="n"/>
      <c r="B534" s="10" t="n"/>
      <c r="C534" s="10" t="n"/>
      <c r="D534" s="14" t="n"/>
      <c r="E534" s="10" t="n"/>
      <c r="F534" s="20">
        <f>IF(OR(A534="",B534=""),"",IF(OR(NOT(ISNUMBER(A534)),ISERROR(N534+O534+P534)),"Проверьте даты",IF(AND(N534&gt;0,P534&gt;1),"Дубль",IF(AND(N534&gt;0,O534&gt;0),O534,"Вне аренды"))))</f>
        <v/>
      </c>
      <c r="G534" s="12">
        <f>IF(ISNUMBER(F534),IFERROR(INDEX(Брони!$C$2:$C$500,MATCH(F534,Брони!$A$2:$A$500,0)),""),"")</f>
        <v/>
      </c>
      <c r="H534" s="10" t="n"/>
      <c r="I534" s="18" t="n"/>
      <c r="J534" s="12">
        <f>IF(AND(ISNUMBER(F534),I534&lt;&gt;""),IFERROR(IF(AND(INDEX(Брони!$F$2:$F$500,MATCH(F534,Брони!$A$2:$A$500,0))="Возвращена",I534&gt;INDEX(Брони!$E$2:$E$500,MATCH(F534,Брони!$A$2:$A$500,0))),"Да",""),""),"")</f>
        <v/>
      </c>
      <c r="K534" s="10" t="n"/>
      <c r="L534" s="14" t="n"/>
      <c r="M534" s="15">
        <f>IF(OR(A534="",B534=""),"",IF(AND(ISNUMBER(F534),H534&lt;&gt;"Компания"),D534+L534,0))</f>
        <v/>
      </c>
      <c r="N534" s="21">
        <f>SUMPRODUCT(MAX((Брони!$B$2:$B$500=B534)*((Брони!$F$2:$F$500="Выдана")+(Брони!$F$2:$F$500="Возвращена"))*(Брони!$D$2:$D$500&lt;=A534)*Брони!$D$2:$D$500))</f>
        <v/>
      </c>
      <c r="O534" s="19">
        <f>SUMPRODUCT((Брони!$B$2:$B$500=B534)*(Брони!$D$2:$D$500=N534)*((((Брони!$F$2:$F$500="Выдана")*NOW())+((Брони!$F$2:$F$500="Возвращена")*Брони!$E$2:$E$500))&gt;=A534)*Брони!$A$2:$A$500)</f>
        <v/>
      </c>
      <c r="P534" s="19">
        <f>SUMPRODUCT((Брони!$B$2:$B$500=B534)*(Брони!$D$2:$D$500=N534)*(((Брони!$F$2:$F$500="Выдана")+(Брони!$F$2:$F$500="Возвращена"))))</f>
        <v/>
      </c>
      <c r="Q534" s="10" t="n"/>
    </row>
    <row r="535">
      <c r="A535" s="11" t="n"/>
      <c r="B535" s="10" t="n"/>
      <c r="C535" s="10" t="n"/>
      <c r="D535" s="14" t="n"/>
      <c r="E535" s="10" t="n"/>
      <c r="F535" s="20">
        <f>IF(OR(A535="",B535=""),"",IF(OR(NOT(ISNUMBER(A535)),ISERROR(N535+O535+P535)),"Проверьте даты",IF(AND(N535&gt;0,P535&gt;1),"Дубль",IF(AND(N535&gt;0,O535&gt;0),O535,"Вне аренды"))))</f>
        <v/>
      </c>
      <c r="G535" s="12">
        <f>IF(ISNUMBER(F535),IFERROR(INDEX(Брони!$C$2:$C$500,MATCH(F535,Брони!$A$2:$A$500,0)),""),"")</f>
        <v/>
      </c>
      <c r="H535" s="10" t="n"/>
      <c r="I535" s="18" t="n"/>
      <c r="J535" s="12">
        <f>IF(AND(ISNUMBER(F535),I535&lt;&gt;""),IFERROR(IF(AND(INDEX(Брони!$F$2:$F$500,MATCH(F535,Брони!$A$2:$A$500,0))="Возвращена",I535&gt;INDEX(Брони!$E$2:$E$500,MATCH(F535,Брони!$A$2:$A$500,0))),"Да",""),""),"")</f>
        <v/>
      </c>
      <c r="K535" s="10" t="n"/>
      <c r="L535" s="14" t="n"/>
      <c r="M535" s="15">
        <f>IF(OR(A535="",B535=""),"",IF(AND(ISNUMBER(F535),H535&lt;&gt;"Компания"),D535+L535,0))</f>
        <v/>
      </c>
      <c r="N535" s="21">
        <f>SUMPRODUCT(MAX((Брони!$B$2:$B$500=B535)*((Брони!$F$2:$F$500="Выдана")+(Брони!$F$2:$F$500="Возвращена"))*(Брони!$D$2:$D$500&lt;=A535)*Брони!$D$2:$D$500))</f>
        <v/>
      </c>
      <c r="O535" s="19">
        <f>SUMPRODUCT((Брони!$B$2:$B$500=B535)*(Брони!$D$2:$D$500=N535)*((((Брони!$F$2:$F$500="Выдана")*NOW())+((Брони!$F$2:$F$500="Возвращена")*Брони!$E$2:$E$500))&gt;=A535)*Брони!$A$2:$A$500)</f>
        <v/>
      </c>
      <c r="P535" s="19">
        <f>SUMPRODUCT((Брони!$B$2:$B$500=B535)*(Брони!$D$2:$D$500=N535)*(((Брони!$F$2:$F$500="Выдана")+(Брони!$F$2:$F$500="Возвращена"))))</f>
        <v/>
      </c>
      <c r="Q535" s="10" t="n"/>
    </row>
    <row r="536">
      <c r="A536" s="11" t="n"/>
      <c r="B536" s="10" t="n"/>
      <c r="C536" s="10" t="n"/>
      <c r="D536" s="14" t="n"/>
      <c r="E536" s="10" t="n"/>
      <c r="F536" s="20">
        <f>IF(OR(A536="",B536=""),"",IF(OR(NOT(ISNUMBER(A536)),ISERROR(N536+O536+P536)),"Проверьте даты",IF(AND(N536&gt;0,P536&gt;1),"Дубль",IF(AND(N536&gt;0,O536&gt;0),O536,"Вне аренды"))))</f>
        <v/>
      </c>
      <c r="G536" s="12">
        <f>IF(ISNUMBER(F536),IFERROR(INDEX(Брони!$C$2:$C$500,MATCH(F536,Брони!$A$2:$A$500,0)),""),"")</f>
        <v/>
      </c>
      <c r="H536" s="10" t="n"/>
      <c r="I536" s="18" t="n"/>
      <c r="J536" s="12">
        <f>IF(AND(ISNUMBER(F536),I536&lt;&gt;""),IFERROR(IF(AND(INDEX(Брони!$F$2:$F$500,MATCH(F536,Брони!$A$2:$A$500,0))="Возвращена",I536&gt;INDEX(Брони!$E$2:$E$500,MATCH(F536,Брони!$A$2:$A$500,0))),"Да",""),""),"")</f>
        <v/>
      </c>
      <c r="K536" s="10" t="n"/>
      <c r="L536" s="14" t="n"/>
      <c r="M536" s="15">
        <f>IF(OR(A536="",B536=""),"",IF(AND(ISNUMBER(F536),H536&lt;&gt;"Компания"),D536+L536,0))</f>
        <v/>
      </c>
      <c r="N536" s="21">
        <f>SUMPRODUCT(MAX((Брони!$B$2:$B$500=B536)*((Брони!$F$2:$F$500="Выдана")+(Брони!$F$2:$F$500="Возвращена"))*(Брони!$D$2:$D$500&lt;=A536)*Брони!$D$2:$D$500))</f>
        <v/>
      </c>
      <c r="O536" s="19">
        <f>SUMPRODUCT((Брони!$B$2:$B$500=B536)*(Брони!$D$2:$D$500=N536)*((((Брони!$F$2:$F$500="Выдана")*NOW())+((Брони!$F$2:$F$500="Возвращена")*Брони!$E$2:$E$500))&gt;=A536)*Брони!$A$2:$A$500)</f>
        <v/>
      </c>
      <c r="P536" s="19">
        <f>SUMPRODUCT((Брони!$B$2:$B$500=B536)*(Брони!$D$2:$D$500=N536)*(((Брони!$F$2:$F$500="Выдана")+(Брони!$F$2:$F$500="Возвращена"))))</f>
        <v/>
      </c>
      <c r="Q536" s="10" t="n"/>
    </row>
    <row r="537">
      <c r="A537" s="11" t="n"/>
      <c r="B537" s="10" t="n"/>
      <c r="C537" s="10" t="n"/>
      <c r="D537" s="14" t="n"/>
      <c r="E537" s="10" t="n"/>
      <c r="F537" s="20">
        <f>IF(OR(A537="",B537=""),"",IF(OR(NOT(ISNUMBER(A537)),ISERROR(N537+O537+P537)),"Проверьте даты",IF(AND(N537&gt;0,P537&gt;1),"Дубль",IF(AND(N537&gt;0,O537&gt;0),O537,"Вне аренды"))))</f>
        <v/>
      </c>
      <c r="G537" s="12">
        <f>IF(ISNUMBER(F537),IFERROR(INDEX(Брони!$C$2:$C$500,MATCH(F537,Брони!$A$2:$A$500,0)),""),"")</f>
        <v/>
      </c>
      <c r="H537" s="10" t="n"/>
      <c r="I537" s="18" t="n"/>
      <c r="J537" s="12">
        <f>IF(AND(ISNUMBER(F537),I537&lt;&gt;""),IFERROR(IF(AND(INDEX(Брони!$F$2:$F$500,MATCH(F537,Брони!$A$2:$A$500,0))="Возвращена",I537&gt;INDEX(Брони!$E$2:$E$500,MATCH(F537,Брони!$A$2:$A$500,0))),"Да",""),""),"")</f>
        <v/>
      </c>
      <c r="K537" s="10" t="n"/>
      <c r="L537" s="14" t="n"/>
      <c r="M537" s="15">
        <f>IF(OR(A537="",B537=""),"",IF(AND(ISNUMBER(F537),H537&lt;&gt;"Компания"),D537+L537,0))</f>
        <v/>
      </c>
      <c r="N537" s="21">
        <f>SUMPRODUCT(MAX((Брони!$B$2:$B$500=B537)*((Брони!$F$2:$F$500="Выдана")+(Брони!$F$2:$F$500="Возвращена"))*(Брони!$D$2:$D$500&lt;=A537)*Брони!$D$2:$D$500))</f>
        <v/>
      </c>
      <c r="O537" s="19">
        <f>SUMPRODUCT((Брони!$B$2:$B$500=B537)*(Брони!$D$2:$D$500=N537)*((((Брони!$F$2:$F$500="Выдана")*NOW())+((Брони!$F$2:$F$500="Возвращена")*Брони!$E$2:$E$500))&gt;=A537)*Брони!$A$2:$A$500)</f>
        <v/>
      </c>
      <c r="P537" s="19">
        <f>SUMPRODUCT((Брони!$B$2:$B$500=B537)*(Брони!$D$2:$D$500=N537)*(((Брони!$F$2:$F$500="Выдана")+(Брони!$F$2:$F$500="Возвращена"))))</f>
        <v/>
      </c>
      <c r="Q537" s="10" t="n"/>
    </row>
    <row r="538">
      <c r="A538" s="11" t="n"/>
      <c r="B538" s="10" t="n"/>
      <c r="C538" s="10" t="n"/>
      <c r="D538" s="14" t="n"/>
      <c r="E538" s="10" t="n"/>
      <c r="F538" s="20">
        <f>IF(OR(A538="",B538=""),"",IF(OR(NOT(ISNUMBER(A538)),ISERROR(N538+O538+P538)),"Проверьте даты",IF(AND(N538&gt;0,P538&gt;1),"Дубль",IF(AND(N538&gt;0,O538&gt;0),O538,"Вне аренды"))))</f>
        <v/>
      </c>
      <c r="G538" s="12">
        <f>IF(ISNUMBER(F538),IFERROR(INDEX(Брони!$C$2:$C$500,MATCH(F538,Брони!$A$2:$A$500,0)),""),"")</f>
        <v/>
      </c>
      <c r="H538" s="10" t="n"/>
      <c r="I538" s="18" t="n"/>
      <c r="J538" s="12">
        <f>IF(AND(ISNUMBER(F538),I538&lt;&gt;""),IFERROR(IF(AND(INDEX(Брони!$F$2:$F$500,MATCH(F538,Брони!$A$2:$A$500,0))="Возвращена",I538&gt;INDEX(Брони!$E$2:$E$500,MATCH(F538,Брони!$A$2:$A$500,0))),"Да",""),""),"")</f>
        <v/>
      </c>
      <c r="K538" s="10" t="n"/>
      <c r="L538" s="14" t="n"/>
      <c r="M538" s="15">
        <f>IF(OR(A538="",B538=""),"",IF(AND(ISNUMBER(F538),H538&lt;&gt;"Компания"),D538+L538,0))</f>
        <v/>
      </c>
      <c r="N538" s="21">
        <f>SUMPRODUCT(MAX((Брони!$B$2:$B$500=B538)*((Брони!$F$2:$F$500="Выдана")+(Брони!$F$2:$F$500="Возвращена"))*(Брони!$D$2:$D$500&lt;=A538)*Брони!$D$2:$D$500))</f>
        <v/>
      </c>
      <c r="O538" s="19">
        <f>SUMPRODUCT((Брони!$B$2:$B$500=B538)*(Брони!$D$2:$D$500=N538)*((((Брони!$F$2:$F$500="Выдана")*NOW())+((Брони!$F$2:$F$500="Возвращена")*Брони!$E$2:$E$500))&gt;=A538)*Брони!$A$2:$A$500)</f>
        <v/>
      </c>
      <c r="P538" s="19">
        <f>SUMPRODUCT((Брони!$B$2:$B$500=B538)*(Брони!$D$2:$D$500=N538)*(((Брони!$F$2:$F$500="Выдана")+(Брони!$F$2:$F$500="Возвращена"))))</f>
        <v/>
      </c>
      <c r="Q538" s="10" t="n"/>
    </row>
    <row r="539">
      <c r="A539" s="11" t="n"/>
      <c r="B539" s="10" t="n"/>
      <c r="C539" s="10" t="n"/>
      <c r="D539" s="14" t="n"/>
      <c r="E539" s="10" t="n"/>
      <c r="F539" s="20">
        <f>IF(OR(A539="",B539=""),"",IF(OR(NOT(ISNUMBER(A539)),ISERROR(N539+O539+P539)),"Проверьте даты",IF(AND(N539&gt;0,P539&gt;1),"Дубль",IF(AND(N539&gt;0,O539&gt;0),O539,"Вне аренды"))))</f>
        <v/>
      </c>
      <c r="G539" s="12">
        <f>IF(ISNUMBER(F539),IFERROR(INDEX(Брони!$C$2:$C$500,MATCH(F539,Брони!$A$2:$A$500,0)),""),"")</f>
        <v/>
      </c>
      <c r="H539" s="10" t="n"/>
      <c r="I539" s="18" t="n"/>
      <c r="J539" s="12">
        <f>IF(AND(ISNUMBER(F539),I539&lt;&gt;""),IFERROR(IF(AND(INDEX(Брони!$F$2:$F$500,MATCH(F539,Брони!$A$2:$A$500,0))="Возвращена",I539&gt;INDEX(Брони!$E$2:$E$500,MATCH(F539,Брони!$A$2:$A$500,0))),"Да",""),""),"")</f>
        <v/>
      </c>
      <c r="K539" s="10" t="n"/>
      <c r="L539" s="14" t="n"/>
      <c r="M539" s="15">
        <f>IF(OR(A539="",B539=""),"",IF(AND(ISNUMBER(F539),H539&lt;&gt;"Компания"),D539+L539,0))</f>
        <v/>
      </c>
      <c r="N539" s="21">
        <f>SUMPRODUCT(MAX((Брони!$B$2:$B$500=B539)*((Брони!$F$2:$F$500="Выдана")+(Брони!$F$2:$F$500="Возвращена"))*(Брони!$D$2:$D$500&lt;=A539)*Брони!$D$2:$D$500))</f>
        <v/>
      </c>
      <c r="O539" s="19">
        <f>SUMPRODUCT((Брони!$B$2:$B$500=B539)*(Брони!$D$2:$D$500=N539)*((((Брони!$F$2:$F$500="Выдана")*NOW())+((Брони!$F$2:$F$500="Возвращена")*Брони!$E$2:$E$500))&gt;=A539)*Брони!$A$2:$A$500)</f>
        <v/>
      </c>
      <c r="P539" s="19">
        <f>SUMPRODUCT((Брони!$B$2:$B$500=B539)*(Брони!$D$2:$D$500=N539)*(((Брони!$F$2:$F$500="Выдана")+(Брони!$F$2:$F$500="Возвращена"))))</f>
        <v/>
      </c>
      <c r="Q539" s="10" t="n"/>
    </row>
    <row r="540">
      <c r="A540" s="11" t="n"/>
      <c r="B540" s="10" t="n"/>
      <c r="C540" s="10" t="n"/>
      <c r="D540" s="14" t="n"/>
      <c r="E540" s="10" t="n"/>
      <c r="F540" s="20">
        <f>IF(OR(A540="",B540=""),"",IF(OR(NOT(ISNUMBER(A540)),ISERROR(N540+O540+P540)),"Проверьте даты",IF(AND(N540&gt;0,P540&gt;1),"Дубль",IF(AND(N540&gt;0,O540&gt;0),O540,"Вне аренды"))))</f>
        <v/>
      </c>
      <c r="G540" s="12">
        <f>IF(ISNUMBER(F540),IFERROR(INDEX(Брони!$C$2:$C$500,MATCH(F540,Брони!$A$2:$A$500,0)),""),"")</f>
        <v/>
      </c>
      <c r="H540" s="10" t="n"/>
      <c r="I540" s="18" t="n"/>
      <c r="J540" s="12">
        <f>IF(AND(ISNUMBER(F540),I540&lt;&gt;""),IFERROR(IF(AND(INDEX(Брони!$F$2:$F$500,MATCH(F540,Брони!$A$2:$A$500,0))="Возвращена",I540&gt;INDEX(Брони!$E$2:$E$500,MATCH(F540,Брони!$A$2:$A$500,0))),"Да",""),""),"")</f>
        <v/>
      </c>
      <c r="K540" s="10" t="n"/>
      <c r="L540" s="14" t="n"/>
      <c r="M540" s="15">
        <f>IF(OR(A540="",B540=""),"",IF(AND(ISNUMBER(F540),H540&lt;&gt;"Компания"),D540+L540,0))</f>
        <v/>
      </c>
      <c r="N540" s="21">
        <f>SUMPRODUCT(MAX((Брони!$B$2:$B$500=B540)*((Брони!$F$2:$F$500="Выдана")+(Брони!$F$2:$F$500="Возвращена"))*(Брони!$D$2:$D$500&lt;=A540)*Брони!$D$2:$D$500))</f>
        <v/>
      </c>
      <c r="O540" s="19">
        <f>SUMPRODUCT((Брони!$B$2:$B$500=B540)*(Брони!$D$2:$D$500=N540)*((((Брони!$F$2:$F$500="Выдана")*NOW())+((Брони!$F$2:$F$500="Возвращена")*Брони!$E$2:$E$500))&gt;=A540)*Брони!$A$2:$A$500)</f>
        <v/>
      </c>
      <c r="P540" s="19">
        <f>SUMPRODUCT((Брони!$B$2:$B$500=B540)*(Брони!$D$2:$D$500=N540)*(((Брони!$F$2:$F$500="Выдана")+(Брони!$F$2:$F$500="Возвращена"))))</f>
        <v/>
      </c>
      <c r="Q540" s="10" t="n"/>
    </row>
    <row r="541">
      <c r="A541" s="11" t="n"/>
      <c r="B541" s="10" t="n"/>
      <c r="C541" s="10" t="n"/>
      <c r="D541" s="14" t="n"/>
      <c r="E541" s="10" t="n"/>
      <c r="F541" s="20">
        <f>IF(OR(A541="",B541=""),"",IF(OR(NOT(ISNUMBER(A541)),ISERROR(N541+O541+P541)),"Проверьте даты",IF(AND(N541&gt;0,P541&gt;1),"Дубль",IF(AND(N541&gt;0,O541&gt;0),O541,"Вне аренды"))))</f>
        <v/>
      </c>
      <c r="G541" s="12">
        <f>IF(ISNUMBER(F541),IFERROR(INDEX(Брони!$C$2:$C$500,MATCH(F541,Брони!$A$2:$A$500,0)),""),"")</f>
        <v/>
      </c>
      <c r="H541" s="10" t="n"/>
      <c r="I541" s="18" t="n"/>
      <c r="J541" s="12">
        <f>IF(AND(ISNUMBER(F541),I541&lt;&gt;""),IFERROR(IF(AND(INDEX(Брони!$F$2:$F$500,MATCH(F541,Брони!$A$2:$A$500,0))="Возвращена",I541&gt;INDEX(Брони!$E$2:$E$500,MATCH(F541,Брони!$A$2:$A$500,0))),"Да",""),""),"")</f>
        <v/>
      </c>
      <c r="K541" s="10" t="n"/>
      <c r="L541" s="14" t="n"/>
      <c r="M541" s="15">
        <f>IF(OR(A541="",B541=""),"",IF(AND(ISNUMBER(F541),H541&lt;&gt;"Компания"),D541+L541,0))</f>
        <v/>
      </c>
      <c r="N541" s="21">
        <f>SUMPRODUCT(MAX((Брони!$B$2:$B$500=B541)*((Брони!$F$2:$F$500="Выдана")+(Брони!$F$2:$F$500="Возвращена"))*(Брони!$D$2:$D$500&lt;=A541)*Брони!$D$2:$D$500))</f>
        <v/>
      </c>
      <c r="O541" s="19">
        <f>SUMPRODUCT((Брони!$B$2:$B$500=B541)*(Брони!$D$2:$D$500=N541)*((((Брони!$F$2:$F$500="Выдана")*NOW())+((Брони!$F$2:$F$500="Возвращена")*Брони!$E$2:$E$500))&gt;=A541)*Брони!$A$2:$A$500)</f>
        <v/>
      </c>
      <c r="P541" s="19">
        <f>SUMPRODUCT((Брони!$B$2:$B$500=B541)*(Брони!$D$2:$D$500=N541)*(((Брони!$F$2:$F$500="Выдана")+(Брони!$F$2:$F$500="Возвращена"))))</f>
        <v/>
      </c>
      <c r="Q541" s="10" t="n"/>
    </row>
    <row r="542">
      <c r="A542" s="11" t="n"/>
      <c r="B542" s="10" t="n"/>
      <c r="C542" s="10" t="n"/>
      <c r="D542" s="14" t="n"/>
      <c r="E542" s="10" t="n"/>
      <c r="F542" s="20">
        <f>IF(OR(A542="",B542=""),"",IF(OR(NOT(ISNUMBER(A542)),ISERROR(N542+O542+P542)),"Проверьте даты",IF(AND(N542&gt;0,P542&gt;1),"Дубль",IF(AND(N542&gt;0,O542&gt;0),O542,"Вне аренды"))))</f>
        <v/>
      </c>
      <c r="G542" s="12">
        <f>IF(ISNUMBER(F542),IFERROR(INDEX(Брони!$C$2:$C$500,MATCH(F542,Брони!$A$2:$A$500,0)),""),"")</f>
        <v/>
      </c>
      <c r="H542" s="10" t="n"/>
      <c r="I542" s="18" t="n"/>
      <c r="J542" s="12">
        <f>IF(AND(ISNUMBER(F542),I542&lt;&gt;""),IFERROR(IF(AND(INDEX(Брони!$F$2:$F$500,MATCH(F542,Брони!$A$2:$A$500,0))="Возвращена",I542&gt;INDEX(Брони!$E$2:$E$500,MATCH(F542,Брони!$A$2:$A$500,0))),"Да",""),""),"")</f>
        <v/>
      </c>
      <c r="K542" s="10" t="n"/>
      <c r="L542" s="14" t="n"/>
      <c r="M542" s="15">
        <f>IF(OR(A542="",B542=""),"",IF(AND(ISNUMBER(F542),H542&lt;&gt;"Компания"),D542+L542,0))</f>
        <v/>
      </c>
      <c r="N542" s="21">
        <f>SUMPRODUCT(MAX((Брони!$B$2:$B$500=B542)*((Брони!$F$2:$F$500="Выдана")+(Брони!$F$2:$F$500="Возвращена"))*(Брони!$D$2:$D$500&lt;=A542)*Брони!$D$2:$D$500))</f>
        <v/>
      </c>
      <c r="O542" s="19">
        <f>SUMPRODUCT((Брони!$B$2:$B$500=B542)*(Брони!$D$2:$D$500=N542)*((((Брони!$F$2:$F$500="Выдана")*NOW())+((Брони!$F$2:$F$500="Возвращена")*Брони!$E$2:$E$500))&gt;=A542)*Брони!$A$2:$A$500)</f>
        <v/>
      </c>
      <c r="P542" s="19">
        <f>SUMPRODUCT((Брони!$B$2:$B$500=B542)*(Брони!$D$2:$D$500=N542)*(((Брони!$F$2:$F$500="Выдана")+(Брони!$F$2:$F$500="Возвращена"))))</f>
        <v/>
      </c>
      <c r="Q542" s="10" t="n"/>
    </row>
    <row r="543">
      <c r="A543" s="11" t="n"/>
      <c r="B543" s="10" t="n"/>
      <c r="C543" s="10" t="n"/>
      <c r="D543" s="14" t="n"/>
      <c r="E543" s="10" t="n"/>
      <c r="F543" s="20">
        <f>IF(OR(A543="",B543=""),"",IF(OR(NOT(ISNUMBER(A543)),ISERROR(N543+O543+P543)),"Проверьте даты",IF(AND(N543&gt;0,P543&gt;1),"Дубль",IF(AND(N543&gt;0,O543&gt;0),O543,"Вне аренды"))))</f>
        <v/>
      </c>
      <c r="G543" s="12">
        <f>IF(ISNUMBER(F543),IFERROR(INDEX(Брони!$C$2:$C$500,MATCH(F543,Брони!$A$2:$A$500,0)),""),"")</f>
        <v/>
      </c>
      <c r="H543" s="10" t="n"/>
      <c r="I543" s="18" t="n"/>
      <c r="J543" s="12">
        <f>IF(AND(ISNUMBER(F543),I543&lt;&gt;""),IFERROR(IF(AND(INDEX(Брони!$F$2:$F$500,MATCH(F543,Брони!$A$2:$A$500,0))="Возвращена",I543&gt;INDEX(Брони!$E$2:$E$500,MATCH(F543,Брони!$A$2:$A$500,0))),"Да",""),""),"")</f>
        <v/>
      </c>
      <c r="K543" s="10" t="n"/>
      <c r="L543" s="14" t="n"/>
      <c r="M543" s="15">
        <f>IF(OR(A543="",B543=""),"",IF(AND(ISNUMBER(F543),H543&lt;&gt;"Компания"),D543+L543,0))</f>
        <v/>
      </c>
      <c r="N543" s="21">
        <f>SUMPRODUCT(MAX((Брони!$B$2:$B$500=B543)*((Брони!$F$2:$F$500="Выдана")+(Брони!$F$2:$F$500="Возвращена"))*(Брони!$D$2:$D$500&lt;=A543)*Брони!$D$2:$D$500))</f>
        <v/>
      </c>
      <c r="O543" s="19">
        <f>SUMPRODUCT((Брони!$B$2:$B$500=B543)*(Брони!$D$2:$D$500=N543)*((((Брони!$F$2:$F$500="Выдана")*NOW())+((Брони!$F$2:$F$500="Возвращена")*Брони!$E$2:$E$500))&gt;=A543)*Брони!$A$2:$A$500)</f>
        <v/>
      </c>
      <c r="P543" s="19">
        <f>SUMPRODUCT((Брони!$B$2:$B$500=B543)*(Брони!$D$2:$D$500=N543)*(((Брони!$F$2:$F$500="Выдана")+(Брони!$F$2:$F$500="Возвращена"))))</f>
        <v/>
      </c>
      <c r="Q543" s="10" t="n"/>
    </row>
    <row r="544">
      <c r="A544" s="11" t="n"/>
      <c r="B544" s="10" t="n"/>
      <c r="C544" s="10" t="n"/>
      <c r="D544" s="14" t="n"/>
      <c r="E544" s="10" t="n"/>
      <c r="F544" s="20">
        <f>IF(OR(A544="",B544=""),"",IF(OR(NOT(ISNUMBER(A544)),ISERROR(N544+O544+P544)),"Проверьте даты",IF(AND(N544&gt;0,P544&gt;1),"Дубль",IF(AND(N544&gt;0,O544&gt;0),O544,"Вне аренды"))))</f>
        <v/>
      </c>
      <c r="G544" s="12">
        <f>IF(ISNUMBER(F544),IFERROR(INDEX(Брони!$C$2:$C$500,MATCH(F544,Брони!$A$2:$A$500,0)),""),"")</f>
        <v/>
      </c>
      <c r="H544" s="10" t="n"/>
      <c r="I544" s="18" t="n"/>
      <c r="J544" s="12">
        <f>IF(AND(ISNUMBER(F544),I544&lt;&gt;""),IFERROR(IF(AND(INDEX(Брони!$F$2:$F$500,MATCH(F544,Брони!$A$2:$A$500,0))="Возвращена",I544&gt;INDEX(Брони!$E$2:$E$500,MATCH(F544,Брони!$A$2:$A$500,0))),"Да",""),""),"")</f>
        <v/>
      </c>
      <c r="K544" s="10" t="n"/>
      <c r="L544" s="14" t="n"/>
      <c r="M544" s="15">
        <f>IF(OR(A544="",B544=""),"",IF(AND(ISNUMBER(F544),H544&lt;&gt;"Компания"),D544+L544,0))</f>
        <v/>
      </c>
      <c r="N544" s="21">
        <f>SUMPRODUCT(MAX((Брони!$B$2:$B$500=B544)*((Брони!$F$2:$F$500="Выдана")+(Брони!$F$2:$F$500="Возвращена"))*(Брони!$D$2:$D$500&lt;=A544)*Брони!$D$2:$D$500))</f>
        <v/>
      </c>
      <c r="O544" s="19">
        <f>SUMPRODUCT((Брони!$B$2:$B$500=B544)*(Брони!$D$2:$D$500=N544)*((((Брони!$F$2:$F$500="Выдана")*NOW())+((Брони!$F$2:$F$500="Возвращена")*Брони!$E$2:$E$500))&gt;=A544)*Брони!$A$2:$A$500)</f>
        <v/>
      </c>
      <c r="P544" s="19">
        <f>SUMPRODUCT((Брони!$B$2:$B$500=B544)*(Брони!$D$2:$D$500=N544)*(((Брони!$F$2:$F$500="Выдана")+(Брони!$F$2:$F$500="Возвращена"))))</f>
        <v/>
      </c>
      <c r="Q544" s="10" t="n"/>
    </row>
    <row r="545">
      <c r="A545" s="11" t="n"/>
      <c r="B545" s="10" t="n"/>
      <c r="C545" s="10" t="n"/>
      <c r="D545" s="14" t="n"/>
      <c r="E545" s="10" t="n"/>
      <c r="F545" s="20">
        <f>IF(OR(A545="",B545=""),"",IF(OR(NOT(ISNUMBER(A545)),ISERROR(N545+O545+P545)),"Проверьте даты",IF(AND(N545&gt;0,P545&gt;1),"Дубль",IF(AND(N545&gt;0,O545&gt;0),O545,"Вне аренды"))))</f>
        <v/>
      </c>
      <c r="G545" s="12">
        <f>IF(ISNUMBER(F545),IFERROR(INDEX(Брони!$C$2:$C$500,MATCH(F545,Брони!$A$2:$A$500,0)),""),"")</f>
        <v/>
      </c>
      <c r="H545" s="10" t="n"/>
      <c r="I545" s="18" t="n"/>
      <c r="J545" s="12">
        <f>IF(AND(ISNUMBER(F545),I545&lt;&gt;""),IFERROR(IF(AND(INDEX(Брони!$F$2:$F$500,MATCH(F545,Брони!$A$2:$A$500,0))="Возвращена",I545&gt;INDEX(Брони!$E$2:$E$500,MATCH(F545,Брони!$A$2:$A$500,0))),"Да",""),""),"")</f>
        <v/>
      </c>
      <c r="K545" s="10" t="n"/>
      <c r="L545" s="14" t="n"/>
      <c r="M545" s="15">
        <f>IF(OR(A545="",B545=""),"",IF(AND(ISNUMBER(F545),H545&lt;&gt;"Компания"),D545+L545,0))</f>
        <v/>
      </c>
      <c r="N545" s="21">
        <f>SUMPRODUCT(MAX((Брони!$B$2:$B$500=B545)*((Брони!$F$2:$F$500="Выдана")+(Брони!$F$2:$F$500="Возвращена"))*(Брони!$D$2:$D$500&lt;=A545)*Брони!$D$2:$D$500))</f>
        <v/>
      </c>
      <c r="O545" s="19">
        <f>SUMPRODUCT((Брони!$B$2:$B$500=B545)*(Брони!$D$2:$D$500=N545)*((((Брони!$F$2:$F$500="Выдана")*NOW())+((Брони!$F$2:$F$500="Возвращена")*Брони!$E$2:$E$500))&gt;=A545)*Брони!$A$2:$A$500)</f>
        <v/>
      </c>
      <c r="P545" s="19">
        <f>SUMPRODUCT((Брони!$B$2:$B$500=B545)*(Брони!$D$2:$D$500=N545)*(((Брони!$F$2:$F$500="Выдана")+(Брони!$F$2:$F$500="Возвращена"))))</f>
        <v/>
      </c>
      <c r="Q545" s="10" t="n"/>
    </row>
    <row r="546">
      <c r="A546" s="11" t="n"/>
      <c r="B546" s="10" t="n"/>
      <c r="C546" s="10" t="n"/>
      <c r="D546" s="14" t="n"/>
      <c r="E546" s="10" t="n"/>
      <c r="F546" s="20">
        <f>IF(OR(A546="",B546=""),"",IF(OR(NOT(ISNUMBER(A546)),ISERROR(N546+O546+P546)),"Проверьте даты",IF(AND(N546&gt;0,P546&gt;1),"Дубль",IF(AND(N546&gt;0,O546&gt;0),O546,"Вне аренды"))))</f>
        <v/>
      </c>
      <c r="G546" s="12">
        <f>IF(ISNUMBER(F546),IFERROR(INDEX(Брони!$C$2:$C$500,MATCH(F546,Брони!$A$2:$A$500,0)),""),"")</f>
        <v/>
      </c>
      <c r="H546" s="10" t="n"/>
      <c r="I546" s="18" t="n"/>
      <c r="J546" s="12">
        <f>IF(AND(ISNUMBER(F546),I546&lt;&gt;""),IFERROR(IF(AND(INDEX(Брони!$F$2:$F$500,MATCH(F546,Брони!$A$2:$A$500,0))="Возвращена",I546&gt;INDEX(Брони!$E$2:$E$500,MATCH(F546,Брони!$A$2:$A$500,0))),"Да",""),""),"")</f>
        <v/>
      </c>
      <c r="K546" s="10" t="n"/>
      <c r="L546" s="14" t="n"/>
      <c r="M546" s="15">
        <f>IF(OR(A546="",B546=""),"",IF(AND(ISNUMBER(F546),H546&lt;&gt;"Компания"),D546+L546,0))</f>
        <v/>
      </c>
      <c r="N546" s="21">
        <f>SUMPRODUCT(MAX((Брони!$B$2:$B$500=B546)*((Брони!$F$2:$F$500="Выдана")+(Брони!$F$2:$F$500="Возвращена"))*(Брони!$D$2:$D$500&lt;=A546)*Брони!$D$2:$D$500))</f>
        <v/>
      </c>
      <c r="O546" s="19">
        <f>SUMPRODUCT((Брони!$B$2:$B$500=B546)*(Брони!$D$2:$D$500=N546)*((((Брони!$F$2:$F$500="Выдана")*NOW())+((Брони!$F$2:$F$500="Возвращена")*Брони!$E$2:$E$500))&gt;=A546)*Брони!$A$2:$A$500)</f>
        <v/>
      </c>
      <c r="P546" s="19">
        <f>SUMPRODUCT((Брони!$B$2:$B$500=B546)*(Брони!$D$2:$D$500=N546)*(((Брони!$F$2:$F$500="Выдана")+(Брони!$F$2:$F$500="Возвращена"))))</f>
        <v/>
      </c>
      <c r="Q546" s="10" t="n"/>
    </row>
    <row r="547">
      <c r="A547" s="11" t="n"/>
      <c r="B547" s="10" t="n"/>
      <c r="C547" s="10" t="n"/>
      <c r="D547" s="14" t="n"/>
      <c r="E547" s="10" t="n"/>
      <c r="F547" s="20">
        <f>IF(OR(A547="",B547=""),"",IF(OR(NOT(ISNUMBER(A547)),ISERROR(N547+O547+P547)),"Проверьте даты",IF(AND(N547&gt;0,P547&gt;1),"Дубль",IF(AND(N547&gt;0,O547&gt;0),O547,"Вне аренды"))))</f>
        <v/>
      </c>
      <c r="G547" s="12">
        <f>IF(ISNUMBER(F547),IFERROR(INDEX(Брони!$C$2:$C$500,MATCH(F547,Брони!$A$2:$A$500,0)),""),"")</f>
        <v/>
      </c>
      <c r="H547" s="10" t="n"/>
      <c r="I547" s="18" t="n"/>
      <c r="J547" s="12">
        <f>IF(AND(ISNUMBER(F547),I547&lt;&gt;""),IFERROR(IF(AND(INDEX(Брони!$F$2:$F$500,MATCH(F547,Брони!$A$2:$A$500,0))="Возвращена",I547&gt;INDEX(Брони!$E$2:$E$500,MATCH(F547,Брони!$A$2:$A$500,0))),"Да",""),""),"")</f>
        <v/>
      </c>
      <c r="K547" s="10" t="n"/>
      <c r="L547" s="14" t="n"/>
      <c r="M547" s="15">
        <f>IF(OR(A547="",B547=""),"",IF(AND(ISNUMBER(F547),H547&lt;&gt;"Компания"),D547+L547,0))</f>
        <v/>
      </c>
      <c r="N547" s="21">
        <f>SUMPRODUCT(MAX((Брони!$B$2:$B$500=B547)*((Брони!$F$2:$F$500="Выдана")+(Брони!$F$2:$F$500="Возвращена"))*(Брони!$D$2:$D$500&lt;=A547)*Брони!$D$2:$D$500))</f>
        <v/>
      </c>
      <c r="O547" s="19">
        <f>SUMPRODUCT((Брони!$B$2:$B$500=B547)*(Брони!$D$2:$D$500=N547)*((((Брони!$F$2:$F$500="Выдана")*NOW())+((Брони!$F$2:$F$500="Возвращена")*Брони!$E$2:$E$500))&gt;=A547)*Брони!$A$2:$A$500)</f>
        <v/>
      </c>
      <c r="P547" s="19">
        <f>SUMPRODUCT((Брони!$B$2:$B$500=B547)*(Брони!$D$2:$D$500=N547)*(((Брони!$F$2:$F$500="Выдана")+(Брони!$F$2:$F$500="Возвращена"))))</f>
        <v/>
      </c>
      <c r="Q547" s="10" t="n"/>
    </row>
    <row r="548">
      <c r="A548" s="11" t="n"/>
      <c r="B548" s="10" t="n"/>
      <c r="C548" s="10" t="n"/>
      <c r="D548" s="14" t="n"/>
      <c r="E548" s="10" t="n"/>
      <c r="F548" s="20">
        <f>IF(OR(A548="",B548=""),"",IF(OR(NOT(ISNUMBER(A548)),ISERROR(N548+O548+P548)),"Проверьте даты",IF(AND(N548&gt;0,P548&gt;1),"Дубль",IF(AND(N548&gt;0,O548&gt;0),O548,"Вне аренды"))))</f>
        <v/>
      </c>
      <c r="G548" s="12">
        <f>IF(ISNUMBER(F548),IFERROR(INDEX(Брони!$C$2:$C$500,MATCH(F548,Брони!$A$2:$A$500,0)),""),"")</f>
        <v/>
      </c>
      <c r="H548" s="10" t="n"/>
      <c r="I548" s="18" t="n"/>
      <c r="J548" s="12">
        <f>IF(AND(ISNUMBER(F548),I548&lt;&gt;""),IFERROR(IF(AND(INDEX(Брони!$F$2:$F$500,MATCH(F548,Брони!$A$2:$A$500,0))="Возвращена",I548&gt;INDEX(Брони!$E$2:$E$500,MATCH(F548,Брони!$A$2:$A$500,0))),"Да",""),""),"")</f>
        <v/>
      </c>
      <c r="K548" s="10" t="n"/>
      <c r="L548" s="14" t="n"/>
      <c r="M548" s="15">
        <f>IF(OR(A548="",B548=""),"",IF(AND(ISNUMBER(F548),H548&lt;&gt;"Компания"),D548+L548,0))</f>
        <v/>
      </c>
      <c r="N548" s="21">
        <f>SUMPRODUCT(MAX((Брони!$B$2:$B$500=B548)*((Брони!$F$2:$F$500="Выдана")+(Брони!$F$2:$F$500="Возвращена"))*(Брони!$D$2:$D$500&lt;=A548)*Брони!$D$2:$D$500))</f>
        <v/>
      </c>
      <c r="O548" s="19">
        <f>SUMPRODUCT((Брони!$B$2:$B$500=B548)*(Брони!$D$2:$D$500=N548)*((((Брони!$F$2:$F$500="Выдана")*NOW())+((Брони!$F$2:$F$500="Возвращена")*Брони!$E$2:$E$500))&gt;=A548)*Брони!$A$2:$A$500)</f>
        <v/>
      </c>
      <c r="P548" s="19">
        <f>SUMPRODUCT((Брони!$B$2:$B$500=B548)*(Брони!$D$2:$D$500=N548)*(((Брони!$F$2:$F$500="Выдана")+(Брони!$F$2:$F$500="Возвращена"))))</f>
        <v/>
      </c>
      <c r="Q548" s="10" t="n"/>
    </row>
    <row r="549">
      <c r="A549" s="11" t="n"/>
      <c r="B549" s="10" t="n"/>
      <c r="C549" s="10" t="n"/>
      <c r="D549" s="14" t="n"/>
      <c r="E549" s="10" t="n"/>
      <c r="F549" s="20">
        <f>IF(OR(A549="",B549=""),"",IF(OR(NOT(ISNUMBER(A549)),ISERROR(N549+O549+P549)),"Проверьте даты",IF(AND(N549&gt;0,P549&gt;1),"Дубль",IF(AND(N549&gt;0,O549&gt;0),O549,"Вне аренды"))))</f>
        <v/>
      </c>
      <c r="G549" s="12">
        <f>IF(ISNUMBER(F549),IFERROR(INDEX(Брони!$C$2:$C$500,MATCH(F549,Брони!$A$2:$A$500,0)),""),"")</f>
        <v/>
      </c>
      <c r="H549" s="10" t="n"/>
      <c r="I549" s="18" t="n"/>
      <c r="J549" s="12">
        <f>IF(AND(ISNUMBER(F549),I549&lt;&gt;""),IFERROR(IF(AND(INDEX(Брони!$F$2:$F$500,MATCH(F549,Брони!$A$2:$A$500,0))="Возвращена",I549&gt;INDEX(Брони!$E$2:$E$500,MATCH(F549,Брони!$A$2:$A$500,0))),"Да",""),""),"")</f>
        <v/>
      </c>
      <c r="K549" s="10" t="n"/>
      <c r="L549" s="14" t="n"/>
      <c r="M549" s="15">
        <f>IF(OR(A549="",B549=""),"",IF(AND(ISNUMBER(F549),H549&lt;&gt;"Компания"),D549+L549,0))</f>
        <v/>
      </c>
      <c r="N549" s="21">
        <f>SUMPRODUCT(MAX((Брони!$B$2:$B$500=B549)*((Брони!$F$2:$F$500="Выдана")+(Брони!$F$2:$F$500="Возвращена"))*(Брони!$D$2:$D$500&lt;=A549)*Брони!$D$2:$D$500))</f>
        <v/>
      </c>
      <c r="O549" s="19">
        <f>SUMPRODUCT((Брони!$B$2:$B$500=B549)*(Брони!$D$2:$D$500=N549)*((((Брони!$F$2:$F$500="Выдана")*NOW())+((Брони!$F$2:$F$500="Возвращена")*Брони!$E$2:$E$500))&gt;=A549)*Брони!$A$2:$A$500)</f>
        <v/>
      </c>
      <c r="P549" s="19">
        <f>SUMPRODUCT((Брони!$B$2:$B$500=B549)*(Брони!$D$2:$D$500=N549)*(((Брони!$F$2:$F$500="Выдана")+(Брони!$F$2:$F$500="Возвращена"))))</f>
        <v/>
      </c>
      <c r="Q549" s="10" t="n"/>
    </row>
    <row r="550">
      <c r="A550" s="11" t="n"/>
      <c r="B550" s="10" t="n"/>
      <c r="C550" s="10" t="n"/>
      <c r="D550" s="14" t="n"/>
      <c r="E550" s="10" t="n"/>
      <c r="F550" s="20">
        <f>IF(OR(A550="",B550=""),"",IF(OR(NOT(ISNUMBER(A550)),ISERROR(N550+O550+P550)),"Проверьте даты",IF(AND(N550&gt;0,P550&gt;1),"Дубль",IF(AND(N550&gt;0,O550&gt;0),O550,"Вне аренды"))))</f>
        <v/>
      </c>
      <c r="G550" s="12">
        <f>IF(ISNUMBER(F550),IFERROR(INDEX(Брони!$C$2:$C$500,MATCH(F550,Брони!$A$2:$A$500,0)),""),"")</f>
        <v/>
      </c>
      <c r="H550" s="10" t="n"/>
      <c r="I550" s="18" t="n"/>
      <c r="J550" s="12">
        <f>IF(AND(ISNUMBER(F550),I550&lt;&gt;""),IFERROR(IF(AND(INDEX(Брони!$F$2:$F$500,MATCH(F550,Брони!$A$2:$A$500,0))="Возвращена",I550&gt;INDEX(Брони!$E$2:$E$500,MATCH(F550,Брони!$A$2:$A$500,0))),"Да",""),""),"")</f>
        <v/>
      </c>
      <c r="K550" s="10" t="n"/>
      <c r="L550" s="14" t="n"/>
      <c r="M550" s="15">
        <f>IF(OR(A550="",B550=""),"",IF(AND(ISNUMBER(F550),H550&lt;&gt;"Компания"),D550+L550,0))</f>
        <v/>
      </c>
      <c r="N550" s="21">
        <f>SUMPRODUCT(MAX((Брони!$B$2:$B$500=B550)*((Брони!$F$2:$F$500="Выдана")+(Брони!$F$2:$F$500="Возвращена"))*(Брони!$D$2:$D$500&lt;=A550)*Брони!$D$2:$D$500))</f>
        <v/>
      </c>
      <c r="O550" s="19">
        <f>SUMPRODUCT((Брони!$B$2:$B$500=B550)*(Брони!$D$2:$D$500=N550)*((((Брони!$F$2:$F$500="Выдана")*NOW())+((Брони!$F$2:$F$500="Возвращена")*Брони!$E$2:$E$500))&gt;=A550)*Брони!$A$2:$A$500)</f>
        <v/>
      </c>
      <c r="P550" s="19">
        <f>SUMPRODUCT((Брони!$B$2:$B$500=B550)*(Брони!$D$2:$D$500=N550)*(((Брони!$F$2:$F$500="Выдана")+(Брони!$F$2:$F$500="Возвращена"))))</f>
        <v/>
      </c>
      <c r="Q550" s="10" t="n"/>
    </row>
    <row r="551">
      <c r="A551" s="11" t="n"/>
      <c r="B551" s="10" t="n"/>
      <c r="C551" s="10" t="n"/>
      <c r="D551" s="14" t="n"/>
      <c r="E551" s="10" t="n"/>
      <c r="F551" s="20">
        <f>IF(OR(A551="",B551=""),"",IF(OR(NOT(ISNUMBER(A551)),ISERROR(N551+O551+P551)),"Проверьте даты",IF(AND(N551&gt;0,P551&gt;1),"Дубль",IF(AND(N551&gt;0,O551&gt;0),O551,"Вне аренды"))))</f>
        <v/>
      </c>
      <c r="G551" s="12">
        <f>IF(ISNUMBER(F551),IFERROR(INDEX(Брони!$C$2:$C$500,MATCH(F551,Брони!$A$2:$A$500,0)),""),"")</f>
        <v/>
      </c>
      <c r="H551" s="10" t="n"/>
      <c r="I551" s="18" t="n"/>
      <c r="J551" s="12">
        <f>IF(AND(ISNUMBER(F551),I551&lt;&gt;""),IFERROR(IF(AND(INDEX(Брони!$F$2:$F$500,MATCH(F551,Брони!$A$2:$A$500,0))="Возвращена",I551&gt;INDEX(Брони!$E$2:$E$500,MATCH(F551,Брони!$A$2:$A$500,0))),"Да",""),""),"")</f>
        <v/>
      </c>
      <c r="K551" s="10" t="n"/>
      <c r="L551" s="14" t="n"/>
      <c r="M551" s="15">
        <f>IF(OR(A551="",B551=""),"",IF(AND(ISNUMBER(F551),H551&lt;&gt;"Компания"),D551+L551,0))</f>
        <v/>
      </c>
      <c r="N551" s="21">
        <f>SUMPRODUCT(MAX((Брони!$B$2:$B$500=B551)*((Брони!$F$2:$F$500="Выдана")+(Брони!$F$2:$F$500="Возвращена"))*(Брони!$D$2:$D$500&lt;=A551)*Брони!$D$2:$D$500))</f>
        <v/>
      </c>
      <c r="O551" s="19">
        <f>SUMPRODUCT((Брони!$B$2:$B$500=B551)*(Брони!$D$2:$D$500=N551)*((((Брони!$F$2:$F$500="Выдана")*NOW())+((Брони!$F$2:$F$500="Возвращена")*Брони!$E$2:$E$500))&gt;=A551)*Брони!$A$2:$A$500)</f>
        <v/>
      </c>
      <c r="P551" s="19">
        <f>SUMPRODUCT((Брони!$B$2:$B$500=B551)*(Брони!$D$2:$D$500=N551)*(((Брони!$F$2:$F$500="Выдана")+(Брони!$F$2:$F$500="Возвращена"))))</f>
        <v/>
      </c>
      <c r="Q551" s="10" t="n"/>
    </row>
    <row r="552">
      <c r="A552" s="11" t="n"/>
      <c r="B552" s="10" t="n"/>
      <c r="C552" s="10" t="n"/>
      <c r="D552" s="14" t="n"/>
      <c r="E552" s="10" t="n"/>
      <c r="F552" s="20">
        <f>IF(OR(A552="",B552=""),"",IF(OR(NOT(ISNUMBER(A552)),ISERROR(N552+O552+P552)),"Проверьте даты",IF(AND(N552&gt;0,P552&gt;1),"Дубль",IF(AND(N552&gt;0,O552&gt;0),O552,"Вне аренды"))))</f>
        <v/>
      </c>
      <c r="G552" s="12">
        <f>IF(ISNUMBER(F552),IFERROR(INDEX(Брони!$C$2:$C$500,MATCH(F552,Брони!$A$2:$A$500,0)),""),"")</f>
        <v/>
      </c>
      <c r="H552" s="10" t="n"/>
      <c r="I552" s="18" t="n"/>
      <c r="J552" s="12">
        <f>IF(AND(ISNUMBER(F552),I552&lt;&gt;""),IFERROR(IF(AND(INDEX(Брони!$F$2:$F$500,MATCH(F552,Брони!$A$2:$A$500,0))="Возвращена",I552&gt;INDEX(Брони!$E$2:$E$500,MATCH(F552,Брони!$A$2:$A$500,0))),"Да",""),""),"")</f>
        <v/>
      </c>
      <c r="K552" s="10" t="n"/>
      <c r="L552" s="14" t="n"/>
      <c r="M552" s="15">
        <f>IF(OR(A552="",B552=""),"",IF(AND(ISNUMBER(F552),H552&lt;&gt;"Компания"),D552+L552,0))</f>
        <v/>
      </c>
      <c r="N552" s="21">
        <f>SUMPRODUCT(MAX((Брони!$B$2:$B$500=B552)*((Брони!$F$2:$F$500="Выдана")+(Брони!$F$2:$F$500="Возвращена"))*(Брони!$D$2:$D$500&lt;=A552)*Брони!$D$2:$D$500))</f>
        <v/>
      </c>
      <c r="O552" s="19">
        <f>SUMPRODUCT((Брони!$B$2:$B$500=B552)*(Брони!$D$2:$D$500=N552)*((((Брони!$F$2:$F$500="Выдана")*NOW())+((Брони!$F$2:$F$500="Возвращена")*Брони!$E$2:$E$500))&gt;=A552)*Брони!$A$2:$A$500)</f>
        <v/>
      </c>
      <c r="P552" s="19">
        <f>SUMPRODUCT((Брони!$B$2:$B$500=B552)*(Брони!$D$2:$D$500=N552)*(((Брони!$F$2:$F$500="Выдана")+(Брони!$F$2:$F$500="Возвращена"))))</f>
        <v/>
      </c>
      <c r="Q552" s="10" t="n"/>
    </row>
    <row r="553">
      <c r="A553" s="11" t="n"/>
      <c r="B553" s="10" t="n"/>
      <c r="C553" s="10" t="n"/>
      <c r="D553" s="14" t="n"/>
      <c r="E553" s="10" t="n"/>
      <c r="F553" s="20">
        <f>IF(OR(A553="",B553=""),"",IF(OR(NOT(ISNUMBER(A553)),ISERROR(N553+O553+P553)),"Проверьте даты",IF(AND(N553&gt;0,P553&gt;1),"Дубль",IF(AND(N553&gt;0,O553&gt;0),O553,"Вне аренды"))))</f>
        <v/>
      </c>
      <c r="G553" s="12">
        <f>IF(ISNUMBER(F553),IFERROR(INDEX(Брони!$C$2:$C$500,MATCH(F553,Брони!$A$2:$A$500,0)),""),"")</f>
        <v/>
      </c>
      <c r="H553" s="10" t="n"/>
      <c r="I553" s="18" t="n"/>
      <c r="J553" s="12">
        <f>IF(AND(ISNUMBER(F553),I553&lt;&gt;""),IFERROR(IF(AND(INDEX(Брони!$F$2:$F$500,MATCH(F553,Брони!$A$2:$A$500,0))="Возвращена",I553&gt;INDEX(Брони!$E$2:$E$500,MATCH(F553,Брони!$A$2:$A$500,0))),"Да",""),""),"")</f>
        <v/>
      </c>
      <c r="K553" s="10" t="n"/>
      <c r="L553" s="14" t="n"/>
      <c r="M553" s="15">
        <f>IF(OR(A553="",B553=""),"",IF(AND(ISNUMBER(F553),H553&lt;&gt;"Компания"),D553+L553,0))</f>
        <v/>
      </c>
      <c r="N553" s="21">
        <f>SUMPRODUCT(MAX((Брони!$B$2:$B$500=B553)*((Брони!$F$2:$F$500="Выдана")+(Брони!$F$2:$F$500="Возвращена"))*(Брони!$D$2:$D$500&lt;=A553)*Брони!$D$2:$D$500))</f>
        <v/>
      </c>
      <c r="O553" s="19">
        <f>SUMPRODUCT((Брони!$B$2:$B$500=B553)*(Брони!$D$2:$D$500=N553)*((((Брони!$F$2:$F$500="Выдана")*NOW())+((Брони!$F$2:$F$500="Возвращена")*Брони!$E$2:$E$500))&gt;=A553)*Брони!$A$2:$A$500)</f>
        <v/>
      </c>
      <c r="P553" s="19">
        <f>SUMPRODUCT((Брони!$B$2:$B$500=B553)*(Брони!$D$2:$D$500=N553)*(((Брони!$F$2:$F$500="Выдана")+(Брони!$F$2:$F$500="Возвращена"))))</f>
        <v/>
      </c>
      <c r="Q553" s="10" t="n"/>
    </row>
    <row r="554">
      <c r="A554" s="11" t="n"/>
      <c r="B554" s="10" t="n"/>
      <c r="C554" s="10" t="n"/>
      <c r="D554" s="14" t="n"/>
      <c r="E554" s="10" t="n"/>
      <c r="F554" s="20">
        <f>IF(OR(A554="",B554=""),"",IF(OR(NOT(ISNUMBER(A554)),ISERROR(N554+O554+P554)),"Проверьте даты",IF(AND(N554&gt;0,P554&gt;1),"Дубль",IF(AND(N554&gt;0,O554&gt;0),O554,"Вне аренды"))))</f>
        <v/>
      </c>
      <c r="G554" s="12">
        <f>IF(ISNUMBER(F554),IFERROR(INDEX(Брони!$C$2:$C$500,MATCH(F554,Брони!$A$2:$A$500,0)),""),"")</f>
        <v/>
      </c>
      <c r="H554" s="10" t="n"/>
      <c r="I554" s="18" t="n"/>
      <c r="J554" s="12">
        <f>IF(AND(ISNUMBER(F554),I554&lt;&gt;""),IFERROR(IF(AND(INDEX(Брони!$F$2:$F$500,MATCH(F554,Брони!$A$2:$A$500,0))="Возвращена",I554&gt;INDEX(Брони!$E$2:$E$500,MATCH(F554,Брони!$A$2:$A$500,0))),"Да",""),""),"")</f>
        <v/>
      </c>
      <c r="K554" s="10" t="n"/>
      <c r="L554" s="14" t="n"/>
      <c r="M554" s="15">
        <f>IF(OR(A554="",B554=""),"",IF(AND(ISNUMBER(F554),H554&lt;&gt;"Компания"),D554+L554,0))</f>
        <v/>
      </c>
      <c r="N554" s="21">
        <f>SUMPRODUCT(MAX((Брони!$B$2:$B$500=B554)*((Брони!$F$2:$F$500="Выдана")+(Брони!$F$2:$F$500="Возвращена"))*(Брони!$D$2:$D$500&lt;=A554)*Брони!$D$2:$D$500))</f>
        <v/>
      </c>
      <c r="O554" s="19">
        <f>SUMPRODUCT((Брони!$B$2:$B$500=B554)*(Брони!$D$2:$D$500=N554)*((((Брони!$F$2:$F$500="Выдана")*NOW())+((Брони!$F$2:$F$500="Возвращена")*Брони!$E$2:$E$500))&gt;=A554)*Брони!$A$2:$A$500)</f>
        <v/>
      </c>
      <c r="P554" s="19">
        <f>SUMPRODUCT((Брони!$B$2:$B$500=B554)*(Брони!$D$2:$D$500=N554)*(((Брони!$F$2:$F$500="Выдана")+(Брони!$F$2:$F$500="Возвращена"))))</f>
        <v/>
      </c>
      <c r="Q554" s="10" t="n"/>
    </row>
    <row r="555">
      <c r="A555" s="11" t="n"/>
      <c r="B555" s="10" t="n"/>
      <c r="C555" s="10" t="n"/>
      <c r="D555" s="14" t="n"/>
      <c r="E555" s="10" t="n"/>
      <c r="F555" s="20">
        <f>IF(OR(A555="",B555=""),"",IF(OR(NOT(ISNUMBER(A555)),ISERROR(N555+O555+P555)),"Проверьте даты",IF(AND(N555&gt;0,P555&gt;1),"Дубль",IF(AND(N555&gt;0,O555&gt;0),O555,"Вне аренды"))))</f>
        <v/>
      </c>
      <c r="G555" s="12">
        <f>IF(ISNUMBER(F555),IFERROR(INDEX(Брони!$C$2:$C$500,MATCH(F555,Брони!$A$2:$A$500,0)),""),"")</f>
        <v/>
      </c>
      <c r="H555" s="10" t="n"/>
      <c r="I555" s="18" t="n"/>
      <c r="J555" s="12">
        <f>IF(AND(ISNUMBER(F555),I555&lt;&gt;""),IFERROR(IF(AND(INDEX(Брони!$F$2:$F$500,MATCH(F555,Брони!$A$2:$A$500,0))="Возвращена",I555&gt;INDEX(Брони!$E$2:$E$500,MATCH(F555,Брони!$A$2:$A$500,0))),"Да",""),""),"")</f>
        <v/>
      </c>
      <c r="K555" s="10" t="n"/>
      <c r="L555" s="14" t="n"/>
      <c r="M555" s="15">
        <f>IF(OR(A555="",B555=""),"",IF(AND(ISNUMBER(F555),H555&lt;&gt;"Компания"),D555+L555,0))</f>
        <v/>
      </c>
      <c r="N555" s="21">
        <f>SUMPRODUCT(MAX((Брони!$B$2:$B$500=B555)*((Брони!$F$2:$F$500="Выдана")+(Брони!$F$2:$F$500="Возвращена"))*(Брони!$D$2:$D$500&lt;=A555)*Брони!$D$2:$D$500))</f>
        <v/>
      </c>
      <c r="O555" s="19">
        <f>SUMPRODUCT((Брони!$B$2:$B$500=B555)*(Брони!$D$2:$D$500=N555)*((((Брони!$F$2:$F$500="Выдана")*NOW())+((Брони!$F$2:$F$500="Возвращена")*Брони!$E$2:$E$500))&gt;=A555)*Брони!$A$2:$A$500)</f>
        <v/>
      </c>
      <c r="P555" s="19">
        <f>SUMPRODUCT((Брони!$B$2:$B$500=B555)*(Брони!$D$2:$D$500=N555)*(((Брони!$F$2:$F$500="Выдана")+(Брони!$F$2:$F$500="Возвращена"))))</f>
        <v/>
      </c>
      <c r="Q555" s="10" t="n"/>
    </row>
    <row r="556">
      <c r="A556" s="11" t="n"/>
      <c r="B556" s="10" t="n"/>
      <c r="C556" s="10" t="n"/>
      <c r="D556" s="14" t="n"/>
      <c r="E556" s="10" t="n"/>
      <c r="F556" s="20">
        <f>IF(OR(A556="",B556=""),"",IF(OR(NOT(ISNUMBER(A556)),ISERROR(N556+O556+P556)),"Проверьте даты",IF(AND(N556&gt;0,P556&gt;1),"Дубль",IF(AND(N556&gt;0,O556&gt;0),O556,"Вне аренды"))))</f>
        <v/>
      </c>
      <c r="G556" s="12">
        <f>IF(ISNUMBER(F556),IFERROR(INDEX(Брони!$C$2:$C$500,MATCH(F556,Брони!$A$2:$A$500,0)),""),"")</f>
        <v/>
      </c>
      <c r="H556" s="10" t="n"/>
      <c r="I556" s="18" t="n"/>
      <c r="J556" s="12">
        <f>IF(AND(ISNUMBER(F556),I556&lt;&gt;""),IFERROR(IF(AND(INDEX(Брони!$F$2:$F$500,MATCH(F556,Брони!$A$2:$A$500,0))="Возвращена",I556&gt;INDEX(Брони!$E$2:$E$500,MATCH(F556,Брони!$A$2:$A$500,0))),"Да",""),""),"")</f>
        <v/>
      </c>
      <c r="K556" s="10" t="n"/>
      <c r="L556" s="14" t="n"/>
      <c r="M556" s="15">
        <f>IF(OR(A556="",B556=""),"",IF(AND(ISNUMBER(F556),H556&lt;&gt;"Компания"),D556+L556,0))</f>
        <v/>
      </c>
      <c r="N556" s="21">
        <f>SUMPRODUCT(MAX((Брони!$B$2:$B$500=B556)*((Брони!$F$2:$F$500="Выдана")+(Брони!$F$2:$F$500="Возвращена"))*(Брони!$D$2:$D$500&lt;=A556)*Брони!$D$2:$D$500))</f>
        <v/>
      </c>
      <c r="O556" s="19">
        <f>SUMPRODUCT((Брони!$B$2:$B$500=B556)*(Брони!$D$2:$D$500=N556)*((((Брони!$F$2:$F$500="Выдана")*NOW())+((Брони!$F$2:$F$500="Возвращена")*Брони!$E$2:$E$500))&gt;=A556)*Брони!$A$2:$A$500)</f>
        <v/>
      </c>
      <c r="P556" s="19">
        <f>SUMPRODUCT((Брони!$B$2:$B$500=B556)*(Брони!$D$2:$D$500=N556)*(((Брони!$F$2:$F$500="Выдана")+(Брони!$F$2:$F$500="Возвращена"))))</f>
        <v/>
      </c>
      <c r="Q556" s="10" t="n"/>
    </row>
    <row r="557">
      <c r="A557" s="11" t="n"/>
      <c r="B557" s="10" t="n"/>
      <c r="C557" s="10" t="n"/>
      <c r="D557" s="14" t="n"/>
      <c r="E557" s="10" t="n"/>
      <c r="F557" s="20">
        <f>IF(OR(A557="",B557=""),"",IF(OR(NOT(ISNUMBER(A557)),ISERROR(N557+O557+P557)),"Проверьте даты",IF(AND(N557&gt;0,P557&gt;1),"Дубль",IF(AND(N557&gt;0,O557&gt;0),O557,"Вне аренды"))))</f>
        <v/>
      </c>
      <c r="G557" s="12">
        <f>IF(ISNUMBER(F557),IFERROR(INDEX(Брони!$C$2:$C$500,MATCH(F557,Брони!$A$2:$A$500,0)),""),"")</f>
        <v/>
      </c>
      <c r="H557" s="10" t="n"/>
      <c r="I557" s="18" t="n"/>
      <c r="J557" s="12">
        <f>IF(AND(ISNUMBER(F557),I557&lt;&gt;""),IFERROR(IF(AND(INDEX(Брони!$F$2:$F$500,MATCH(F557,Брони!$A$2:$A$500,0))="Возвращена",I557&gt;INDEX(Брони!$E$2:$E$500,MATCH(F557,Брони!$A$2:$A$500,0))),"Да",""),""),"")</f>
        <v/>
      </c>
      <c r="K557" s="10" t="n"/>
      <c r="L557" s="14" t="n"/>
      <c r="M557" s="15">
        <f>IF(OR(A557="",B557=""),"",IF(AND(ISNUMBER(F557),H557&lt;&gt;"Компания"),D557+L557,0))</f>
        <v/>
      </c>
      <c r="N557" s="21">
        <f>SUMPRODUCT(MAX((Брони!$B$2:$B$500=B557)*((Брони!$F$2:$F$500="Выдана")+(Брони!$F$2:$F$500="Возвращена"))*(Брони!$D$2:$D$500&lt;=A557)*Брони!$D$2:$D$500))</f>
        <v/>
      </c>
      <c r="O557" s="19">
        <f>SUMPRODUCT((Брони!$B$2:$B$500=B557)*(Брони!$D$2:$D$500=N557)*((((Брони!$F$2:$F$500="Выдана")*NOW())+((Брони!$F$2:$F$500="Возвращена")*Брони!$E$2:$E$500))&gt;=A557)*Брони!$A$2:$A$500)</f>
        <v/>
      </c>
      <c r="P557" s="19">
        <f>SUMPRODUCT((Брони!$B$2:$B$500=B557)*(Брони!$D$2:$D$500=N557)*(((Брони!$F$2:$F$500="Выдана")+(Брони!$F$2:$F$500="Возвращена"))))</f>
        <v/>
      </c>
      <c r="Q557" s="10" t="n"/>
    </row>
    <row r="558">
      <c r="A558" s="11" t="n"/>
      <c r="B558" s="10" t="n"/>
      <c r="C558" s="10" t="n"/>
      <c r="D558" s="14" t="n"/>
      <c r="E558" s="10" t="n"/>
      <c r="F558" s="20">
        <f>IF(OR(A558="",B558=""),"",IF(OR(NOT(ISNUMBER(A558)),ISERROR(N558+O558+P558)),"Проверьте даты",IF(AND(N558&gt;0,P558&gt;1),"Дубль",IF(AND(N558&gt;0,O558&gt;0),O558,"Вне аренды"))))</f>
        <v/>
      </c>
      <c r="G558" s="12">
        <f>IF(ISNUMBER(F558),IFERROR(INDEX(Брони!$C$2:$C$500,MATCH(F558,Брони!$A$2:$A$500,0)),""),"")</f>
        <v/>
      </c>
      <c r="H558" s="10" t="n"/>
      <c r="I558" s="18" t="n"/>
      <c r="J558" s="12">
        <f>IF(AND(ISNUMBER(F558),I558&lt;&gt;""),IFERROR(IF(AND(INDEX(Брони!$F$2:$F$500,MATCH(F558,Брони!$A$2:$A$500,0))="Возвращена",I558&gt;INDEX(Брони!$E$2:$E$500,MATCH(F558,Брони!$A$2:$A$500,0))),"Да",""),""),"")</f>
        <v/>
      </c>
      <c r="K558" s="10" t="n"/>
      <c r="L558" s="14" t="n"/>
      <c r="M558" s="15">
        <f>IF(OR(A558="",B558=""),"",IF(AND(ISNUMBER(F558),H558&lt;&gt;"Компания"),D558+L558,0))</f>
        <v/>
      </c>
      <c r="N558" s="21">
        <f>SUMPRODUCT(MAX((Брони!$B$2:$B$500=B558)*((Брони!$F$2:$F$500="Выдана")+(Брони!$F$2:$F$500="Возвращена"))*(Брони!$D$2:$D$500&lt;=A558)*Брони!$D$2:$D$500))</f>
        <v/>
      </c>
      <c r="O558" s="19">
        <f>SUMPRODUCT((Брони!$B$2:$B$500=B558)*(Брони!$D$2:$D$500=N558)*((((Брони!$F$2:$F$500="Выдана")*NOW())+((Брони!$F$2:$F$500="Возвращена")*Брони!$E$2:$E$500))&gt;=A558)*Брони!$A$2:$A$500)</f>
        <v/>
      </c>
      <c r="P558" s="19">
        <f>SUMPRODUCT((Брони!$B$2:$B$500=B558)*(Брони!$D$2:$D$500=N558)*(((Брони!$F$2:$F$500="Выдана")+(Брони!$F$2:$F$500="Возвращена"))))</f>
        <v/>
      </c>
      <c r="Q558" s="10" t="n"/>
    </row>
    <row r="559">
      <c r="A559" s="11" t="n"/>
      <c r="B559" s="10" t="n"/>
      <c r="C559" s="10" t="n"/>
      <c r="D559" s="14" t="n"/>
      <c r="E559" s="10" t="n"/>
      <c r="F559" s="20">
        <f>IF(OR(A559="",B559=""),"",IF(OR(NOT(ISNUMBER(A559)),ISERROR(N559+O559+P559)),"Проверьте даты",IF(AND(N559&gt;0,P559&gt;1),"Дубль",IF(AND(N559&gt;0,O559&gt;0),O559,"Вне аренды"))))</f>
        <v/>
      </c>
      <c r="G559" s="12">
        <f>IF(ISNUMBER(F559),IFERROR(INDEX(Брони!$C$2:$C$500,MATCH(F559,Брони!$A$2:$A$500,0)),""),"")</f>
        <v/>
      </c>
      <c r="H559" s="10" t="n"/>
      <c r="I559" s="18" t="n"/>
      <c r="J559" s="12">
        <f>IF(AND(ISNUMBER(F559),I559&lt;&gt;""),IFERROR(IF(AND(INDEX(Брони!$F$2:$F$500,MATCH(F559,Брони!$A$2:$A$500,0))="Возвращена",I559&gt;INDEX(Брони!$E$2:$E$500,MATCH(F559,Брони!$A$2:$A$500,0))),"Да",""),""),"")</f>
        <v/>
      </c>
      <c r="K559" s="10" t="n"/>
      <c r="L559" s="14" t="n"/>
      <c r="M559" s="15">
        <f>IF(OR(A559="",B559=""),"",IF(AND(ISNUMBER(F559),H559&lt;&gt;"Компания"),D559+L559,0))</f>
        <v/>
      </c>
      <c r="N559" s="21">
        <f>SUMPRODUCT(MAX((Брони!$B$2:$B$500=B559)*((Брони!$F$2:$F$500="Выдана")+(Брони!$F$2:$F$500="Возвращена"))*(Брони!$D$2:$D$500&lt;=A559)*Брони!$D$2:$D$500))</f>
        <v/>
      </c>
      <c r="O559" s="19">
        <f>SUMPRODUCT((Брони!$B$2:$B$500=B559)*(Брони!$D$2:$D$500=N559)*((((Брони!$F$2:$F$500="Выдана")*NOW())+((Брони!$F$2:$F$500="Возвращена")*Брони!$E$2:$E$500))&gt;=A559)*Брони!$A$2:$A$500)</f>
        <v/>
      </c>
      <c r="P559" s="19">
        <f>SUMPRODUCT((Брони!$B$2:$B$500=B559)*(Брони!$D$2:$D$500=N559)*(((Брони!$F$2:$F$500="Выдана")+(Брони!$F$2:$F$500="Возвращена"))))</f>
        <v/>
      </c>
      <c r="Q559" s="10" t="n"/>
    </row>
    <row r="560">
      <c r="A560" s="11" t="n"/>
      <c r="B560" s="10" t="n"/>
      <c r="C560" s="10" t="n"/>
      <c r="D560" s="14" t="n"/>
      <c r="E560" s="10" t="n"/>
      <c r="F560" s="20">
        <f>IF(OR(A560="",B560=""),"",IF(OR(NOT(ISNUMBER(A560)),ISERROR(N560+O560+P560)),"Проверьте даты",IF(AND(N560&gt;0,P560&gt;1),"Дубль",IF(AND(N560&gt;0,O560&gt;0),O560,"Вне аренды"))))</f>
        <v/>
      </c>
      <c r="G560" s="12">
        <f>IF(ISNUMBER(F560),IFERROR(INDEX(Брони!$C$2:$C$500,MATCH(F560,Брони!$A$2:$A$500,0)),""),"")</f>
        <v/>
      </c>
      <c r="H560" s="10" t="n"/>
      <c r="I560" s="18" t="n"/>
      <c r="J560" s="12">
        <f>IF(AND(ISNUMBER(F560),I560&lt;&gt;""),IFERROR(IF(AND(INDEX(Брони!$F$2:$F$500,MATCH(F560,Брони!$A$2:$A$500,0))="Возвращена",I560&gt;INDEX(Брони!$E$2:$E$500,MATCH(F560,Брони!$A$2:$A$500,0))),"Да",""),""),"")</f>
        <v/>
      </c>
      <c r="K560" s="10" t="n"/>
      <c r="L560" s="14" t="n"/>
      <c r="M560" s="15">
        <f>IF(OR(A560="",B560=""),"",IF(AND(ISNUMBER(F560),H560&lt;&gt;"Компания"),D560+L560,0))</f>
        <v/>
      </c>
      <c r="N560" s="21">
        <f>SUMPRODUCT(MAX((Брони!$B$2:$B$500=B560)*((Брони!$F$2:$F$500="Выдана")+(Брони!$F$2:$F$500="Возвращена"))*(Брони!$D$2:$D$500&lt;=A560)*Брони!$D$2:$D$500))</f>
        <v/>
      </c>
      <c r="O560" s="19">
        <f>SUMPRODUCT((Брони!$B$2:$B$500=B560)*(Брони!$D$2:$D$500=N560)*((((Брони!$F$2:$F$500="Выдана")*NOW())+((Брони!$F$2:$F$500="Возвращена")*Брони!$E$2:$E$500))&gt;=A560)*Брони!$A$2:$A$500)</f>
        <v/>
      </c>
      <c r="P560" s="19">
        <f>SUMPRODUCT((Брони!$B$2:$B$500=B560)*(Брони!$D$2:$D$500=N560)*(((Брони!$F$2:$F$500="Выдана")+(Брони!$F$2:$F$500="Возвращена"))))</f>
        <v/>
      </c>
      <c r="Q560" s="10" t="n"/>
    </row>
    <row r="561">
      <c r="A561" s="11" t="n"/>
      <c r="B561" s="10" t="n"/>
      <c r="C561" s="10" t="n"/>
      <c r="D561" s="14" t="n"/>
      <c r="E561" s="10" t="n"/>
      <c r="F561" s="20">
        <f>IF(OR(A561="",B561=""),"",IF(OR(NOT(ISNUMBER(A561)),ISERROR(N561+O561+P561)),"Проверьте даты",IF(AND(N561&gt;0,P561&gt;1),"Дубль",IF(AND(N561&gt;0,O561&gt;0),O561,"Вне аренды"))))</f>
        <v/>
      </c>
      <c r="G561" s="12">
        <f>IF(ISNUMBER(F561),IFERROR(INDEX(Брони!$C$2:$C$500,MATCH(F561,Брони!$A$2:$A$500,0)),""),"")</f>
        <v/>
      </c>
      <c r="H561" s="10" t="n"/>
      <c r="I561" s="18" t="n"/>
      <c r="J561" s="12">
        <f>IF(AND(ISNUMBER(F561),I561&lt;&gt;""),IFERROR(IF(AND(INDEX(Брони!$F$2:$F$500,MATCH(F561,Брони!$A$2:$A$500,0))="Возвращена",I561&gt;INDEX(Брони!$E$2:$E$500,MATCH(F561,Брони!$A$2:$A$500,0))),"Да",""),""),"")</f>
        <v/>
      </c>
      <c r="K561" s="10" t="n"/>
      <c r="L561" s="14" t="n"/>
      <c r="M561" s="15">
        <f>IF(OR(A561="",B561=""),"",IF(AND(ISNUMBER(F561),H561&lt;&gt;"Компания"),D561+L561,0))</f>
        <v/>
      </c>
      <c r="N561" s="21">
        <f>SUMPRODUCT(MAX((Брони!$B$2:$B$500=B561)*((Брони!$F$2:$F$500="Выдана")+(Брони!$F$2:$F$500="Возвращена"))*(Брони!$D$2:$D$500&lt;=A561)*Брони!$D$2:$D$500))</f>
        <v/>
      </c>
      <c r="O561" s="19">
        <f>SUMPRODUCT((Брони!$B$2:$B$500=B561)*(Брони!$D$2:$D$500=N561)*((((Брони!$F$2:$F$500="Выдана")*NOW())+((Брони!$F$2:$F$500="Возвращена")*Брони!$E$2:$E$500))&gt;=A561)*Брони!$A$2:$A$500)</f>
        <v/>
      </c>
      <c r="P561" s="19">
        <f>SUMPRODUCT((Брони!$B$2:$B$500=B561)*(Брони!$D$2:$D$500=N561)*(((Брони!$F$2:$F$500="Выдана")+(Брони!$F$2:$F$500="Возвращена"))))</f>
        <v/>
      </c>
      <c r="Q561" s="10" t="n"/>
    </row>
    <row r="562">
      <c r="A562" s="11" t="n"/>
      <c r="B562" s="10" t="n"/>
      <c r="C562" s="10" t="n"/>
      <c r="D562" s="14" t="n"/>
      <c r="E562" s="10" t="n"/>
      <c r="F562" s="20">
        <f>IF(OR(A562="",B562=""),"",IF(OR(NOT(ISNUMBER(A562)),ISERROR(N562+O562+P562)),"Проверьте даты",IF(AND(N562&gt;0,P562&gt;1),"Дубль",IF(AND(N562&gt;0,O562&gt;0),O562,"Вне аренды"))))</f>
        <v/>
      </c>
      <c r="G562" s="12">
        <f>IF(ISNUMBER(F562),IFERROR(INDEX(Брони!$C$2:$C$500,MATCH(F562,Брони!$A$2:$A$500,0)),""),"")</f>
        <v/>
      </c>
      <c r="H562" s="10" t="n"/>
      <c r="I562" s="18" t="n"/>
      <c r="J562" s="12">
        <f>IF(AND(ISNUMBER(F562),I562&lt;&gt;""),IFERROR(IF(AND(INDEX(Брони!$F$2:$F$500,MATCH(F562,Брони!$A$2:$A$500,0))="Возвращена",I562&gt;INDEX(Брони!$E$2:$E$500,MATCH(F562,Брони!$A$2:$A$500,0))),"Да",""),""),"")</f>
        <v/>
      </c>
      <c r="K562" s="10" t="n"/>
      <c r="L562" s="14" t="n"/>
      <c r="M562" s="15">
        <f>IF(OR(A562="",B562=""),"",IF(AND(ISNUMBER(F562),H562&lt;&gt;"Компания"),D562+L562,0))</f>
        <v/>
      </c>
      <c r="N562" s="21">
        <f>SUMPRODUCT(MAX((Брони!$B$2:$B$500=B562)*((Брони!$F$2:$F$500="Выдана")+(Брони!$F$2:$F$500="Возвращена"))*(Брони!$D$2:$D$500&lt;=A562)*Брони!$D$2:$D$500))</f>
        <v/>
      </c>
      <c r="O562" s="19">
        <f>SUMPRODUCT((Брони!$B$2:$B$500=B562)*(Брони!$D$2:$D$500=N562)*((((Брони!$F$2:$F$500="Выдана")*NOW())+((Брони!$F$2:$F$500="Возвращена")*Брони!$E$2:$E$500))&gt;=A562)*Брони!$A$2:$A$500)</f>
        <v/>
      </c>
      <c r="P562" s="19">
        <f>SUMPRODUCT((Брони!$B$2:$B$500=B562)*(Брони!$D$2:$D$500=N562)*(((Брони!$F$2:$F$500="Выдана")+(Брони!$F$2:$F$500="Возвращена"))))</f>
        <v/>
      </c>
      <c r="Q562" s="10" t="n"/>
    </row>
    <row r="563">
      <c r="A563" s="11" t="n"/>
      <c r="B563" s="10" t="n"/>
      <c r="C563" s="10" t="n"/>
      <c r="D563" s="14" t="n"/>
      <c r="E563" s="10" t="n"/>
      <c r="F563" s="20">
        <f>IF(OR(A563="",B563=""),"",IF(OR(NOT(ISNUMBER(A563)),ISERROR(N563+O563+P563)),"Проверьте даты",IF(AND(N563&gt;0,P563&gt;1),"Дубль",IF(AND(N563&gt;0,O563&gt;0),O563,"Вне аренды"))))</f>
        <v/>
      </c>
      <c r="G563" s="12">
        <f>IF(ISNUMBER(F563),IFERROR(INDEX(Брони!$C$2:$C$500,MATCH(F563,Брони!$A$2:$A$500,0)),""),"")</f>
        <v/>
      </c>
      <c r="H563" s="10" t="n"/>
      <c r="I563" s="18" t="n"/>
      <c r="J563" s="12">
        <f>IF(AND(ISNUMBER(F563),I563&lt;&gt;""),IFERROR(IF(AND(INDEX(Брони!$F$2:$F$500,MATCH(F563,Брони!$A$2:$A$500,0))="Возвращена",I563&gt;INDEX(Брони!$E$2:$E$500,MATCH(F563,Брони!$A$2:$A$500,0))),"Да",""),""),"")</f>
        <v/>
      </c>
      <c r="K563" s="10" t="n"/>
      <c r="L563" s="14" t="n"/>
      <c r="M563" s="15">
        <f>IF(OR(A563="",B563=""),"",IF(AND(ISNUMBER(F563),H563&lt;&gt;"Компания"),D563+L563,0))</f>
        <v/>
      </c>
      <c r="N563" s="21">
        <f>SUMPRODUCT(MAX((Брони!$B$2:$B$500=B563)*((Брони!$F$2:$F$500="Выдана")+(Брони!$F$2:$F$500="Возвращена"))*(Брони!$D$2:$D$500&lt;=A563)*Брони!$D$2:$D$500))</f>
        <v/>
      </c>
      <c r="O563" s="19">
        <f>SUMPRODUCT((Брони!$B$2:$B$500=B563)*(Брони!$D$2:$D$500=N563)*((((Брони!$F$2:$F$500="Выдана")*NOW())+((Брони!$F$2:$F$500="Возвращена")*Брони!$E$2:$E$500))&gt;=A563)*Брони!$A$2:$A$500)</f>
        <v/>
      </c>
      <c r="P563" s="19">
        <f>SUMPRODUCT((Брони!$B$2:$B$500=B563)*(Брони!$D$2:$D$500=N563)*(((Брони!$F$2:$F$500="Выдана")+(Брони!$F$2:$F$500="Возвращена"))))</f>
        <v/>
      </c>
      <c r="Q563" s="10" t="n"/>
    </row>
    <row r="564">
      <c r="A564" s="11" t="n"/>
      <c r="B564" s="10" t="n"/>
      <c r="C564" s="10" t="n"/>
      <c r="D564" s="14" t="n"/>
      <c r="E564" s="10" t="n"/>
      <c r="F564" s="20">
        <f>IF(OR(A564="",B564=""),"",IF(OR(NOT(ISNUMBER(A564)),ISERROR(N564+O564+P564)),"Проверьте даты",IF(AND(N564&gt;0,P564&gt;1),"Дубль",IF(AND(N564&gt;0,O564&gt;0),O564,"Вне аренды"))))</f>
        <v/>
      </c>
      <c r="G564" s="12">
        <f>IF(ISNUMBER(F564),IFERROR(INDEX(Брони!$C$2:$C$500,MATCH(F564,Брони!$A$2:$A$500,0)),""),"")</f>
        <v/>
      </c>
      <c r="H564" s="10" t="n"/>
      <c r="I564" s="18" t="n"/>
      <c r="J564" s="12">
        <f>IF(AND(ISNUMBER(F564),I564&lt;&gt;""),IFERROR(IF(AND(INDEX(Брони!$F$2:$F$500,MATCH(F564,Брони!$A$2:$A$500,0))="Возвращена",I564&gt;INDEX(Брони!$E$2:$E$500,MATCH(F564,Брони!$A$2:$A$500,0))),"Да",""),""),"")</f>
        <v/>
      </c>
      <c r="K564" s="10" t="n"/>
      <c r="L564" s="14" t="n"/>
      <c r="M564" s="15">
        <f>IF(OR(A564="",B564=""),"",IF(AND(ISNUMBER(F564),H564&lt;&gt;"Компания"),D564+L564,0))</f>
        <v/>
      </c>
      <c r="N564" s="21">
        <f>SUMPRODUCT(MAX((Брони!$B$2:$B$500=B564)*((Брони!$F$2:$F$500="Выдана")+(Брони!$F$2:$F$500="Возвращена"))*(Брони!$D$2:$D$500&lt;=A564)*Брони!$D$2:$D$500))</f>
        <v/>
      </c>
      <c r="O564" s="19">
        <f>SUMPRODUCT((Брони!$B$2:$B$500=B564)*(Брони!$D$2:$D$500=N564)*((((Брони!$F$2:$F$500="Выдана")*NOW())+((Брони!$F$2:$F$500="Возвращена")*Брони!$E$2:$E$500))&gt;=A564)*Брони!$A$2:$A$500)</f>
        <v/>
      </c>
      <c r="P564" s="19">
        <f>SUMPRODUCT((Брони!$B$2:$B$500=B564)*(Брони!$D$2:$D$500=N564)*(((Брони!$F$2:$F$500="Выдана")+(Брони!$F$2:$F$500="Возвращена"))))</f>
        <v/>
      </c>
      <c r="Q564" s="10" t="n"/>
    </row>
    <row r="565">
      <c r="A565" s="11" t="n"/>
      <c r="B565" s="10" t="n"/>
      <c r="C565" s="10" t="n"/>
      <c r="D565" s="14" t="n"/>
      <c r="E565" s="10" t="n"/>
      <c r="F565" s="20">
        <f>IF(OR(A565="",B565=""),"",IF(OR(NOT(ISNUMBER(A565)),ISERROR(N565+O565+P565)),"Проверьте даты",IF(AND(N565&gt;0,P565&gt;1),"Дубль",IF(AND(N565&gt;0,O565&gt;0),O565,"Вне аренды"))))</f>
        <v/>
      </c>
      <c r="G565" s="12">
        <f>IF(ISNUMBER(F565),IFERROR(INDEX(Брони!$C$2:$C$500,MATCH(F565,Брони!$A$2:$A$500,0)),""),"")</f>
        <v/>
      </c>
      <c r="H565" s="10" t="n"/>
      <c r="I565" s="18" t="n"/>
      <c r="J565" s="12">
        <f>IF(AND(ISNUMBER(F565),I565&lt;&gt;""),IFERROR(IF(AND(INDEX(Брони!$F$2:$F$500,MATCH(F565,Брони!$A$2:$A$500,0))="Возвращена",I565&gt;INDEX(Брони!$E$2:$E$500,MATCH(F565,Брони!$A$2:$A$500,0))),"Да",""),""),"")</f>
        <v/>
      </c>
      <c r="K565" s="10" t="n"/>
      <c r="L565" s="14" t="n"/>
      <c r="M565" s="15">
        <f>IF(OR(A565="",B565=""),"",IF(AND(ISNUMBER(F565),H565&lt;&gt;"Компания"),D565+L565,0))</f>
        <v/>
      </c>
      <c r="N565" s="21">
        <f>SUMPRODUCT(MAX((Брони!$B$2:$B$500=B565)*((Брони!$F$2:$F$500="Выдана")+(Брони!$F$2:$F$500="Возвращена"))*(Брони!$D$2:$D$500&lt;=A565)*Брони!$D$2:$D$500))</f>
        <v/>
      </c>
      <c r="O565" s="19">
        <f>SUMPRODUCT((Брони!$B$2:$B$500=B565)*(Брони!$D$2:$D$500=N565)*((((Брони!$F$2:$F$500="Выдана")*NOW())+((Брони!$F$2:$F$500="Возвращена")*Брони!$E$2:$E$500))&gt;=A565)*Брони!$A$2:$A$500)</f>
        <v/>
      </c>
      <c r="P565" s="19">
        <f>SUMPRODUCT((Брони!$B$2:$B$500=B565)*(Брони!$D$2:$D$500=N565)*(((Брони!$F$2:$F$500="Выдана")+(Брони!$F$2:$F$500="Возвращена"))))</f>
        <v/>
      </c>
      <c r="Q565" s="10" t="n"/>
    </row>
    <row r="566">
      <c r="A566" s="11" t="n"/>
      <c r="B566" s="10" t="n"/>
      <c r="C566" s="10" t="n"/>
      <c r="D566" s="14" t="n"/>
      <c r="E566" s="10" t="n"/>
      <c r="F566" s="20">
        <f>IF(OR(A566="",B566=""),"",IF(OR(NOT(ISNUMBER(A566)),ISERROR(N566+O566+P566)),"Проверьте даты",IF(AND(N566&gt;0,P566&gt;1),"Дубль",IF(AND(N566&gt;0,O566&gt;0),O566,"Вне аренды"))))</f>
        <v/>
      </c>
      <c r="G566" s="12">
        <f>IF(ISNUMBER(F566),IFERROR(INDEX(Брони!$C$2:$C$500,MATCH(F566,Брони!$A$2:$A$500,0)),""),"")</f>
        <v/>
      </c>
      <c r="H566" s="10" t="n"/>
      <c r="I566" s="18" t="n"/>
      <c r="J566" s="12">
        <f>IF(AND(ISNUMBER(F566),I566&lt;&gt;""),IFERROR(IF(AND(INDEX(Брони!$F$2:$F$500,MATCH(F566,Брони!$A$2:$A$500,0))="Возвращена",I566&gt;INDEX(Брони!$E$2:$E$500,MATCH(F566,Брони!$A$2:$A$500,0))),"Да",""),""),"")</f>
        <v/>
      </c>
      <c r="K566" s="10" t="n"/>
      <c r="L566" s="14" t="n"/>
      <c r="M566" s="15">
        <f>IF(OR(A566="",B566=""),"",IF(AND(ISNUMBER(F566),H566&lt;&gt;"Компания"),D566+L566,0))</f>
        <v/>
      </c>
      <c r="N566" s="21">
        <f>SUMPRODUCT(MAX((Брони!$B$2:$B$500=B566)*((Брони!$F$2:$F$500="Выдана")+(Брони!$F$2:$F$500="Возвращена"))*(Брони!$D$2:$D$500&lt;=A566)*Брони!$D$2:$D$500))</f>
        <v/>
      </c>
      <c r="O566" s="19">
        <f>SUMPRODUCT((Брони!$B$2:$B$500=B566)*(Брони!$D$2:$D$500=N566)*((((Брони!$F$2:$F$500="Выдана")*NOW())+((Брони!$F$2:$F$500="Возвращена")*Брони!$E$2:$E$500))&gt;=A566)*Брони!$A$2:$A$500)</f>
        <v/>
      </c>
      <c r="P566" s="19">
        <f>SUMPRODUCT((Брони!$B$2:$B$500=B566)*(Брони!$D$2:$D$500=N566)*(((Брони!$F$2:$F$500="Выдана")+(Брони!$F$2:$F$500="Возвращена"))))</f>
        <v/>
      </c>
      <c r="Q566" s="10" t="n"/>
    </row>
    <row r="567">
      <c r="A567" s="11" t="n"/>
      <c r="B567" s="10" t="n"/>
      <c r="C567" s="10" t="n"/>
      <c r="D567" s="14" t="n"/>
      <c r="E567" s="10" t="n"/>
      <c r="F567" s="20">
        <f>IF(OR(A567="",B567=""),"",IF(OR(NOT(ISNUMBER(A567)),ISERROR(N567+O567+P567)),"Проверьте даты",IF(AND(N567&gt;0,P567&gt;1),"Дубль",IF(AND(N567&gt;0,O567&gt;0),O567,"Вне аренды"))))</f>
        <v/>
      </c>
      <c r="G567" s="12">
        <f>IF(ISNUMBER(F567),IFERROR(INDEX(Брони!$C$2:$C$500,MATCH(F567,Брони!$A$2:$A$500,0)),""),"")</f>
        <v/>
      </c>
      <c r="H567" s="10" t="n"/>
      <c r="I567" s="18" t="n"/>
      <c r="J567" s="12">
        <f>IF(AND(ISNUMBER(F567),I567&lt;&gt;""),IFERROR(IF(AND(INDEX(Брони!$F$2:$F$500,MATCH(F567,Брони!$A$2:$A$500,0))="Возвращена",I567&gt;INDEX(Брони!$E$2:$E$500,MATCH(F567,Брони!$A$2:$A$500,0))),"Да",""),""),"")</f>
        <v/>
      </c>
      <c r="K567" s="10" t="n"/>
      <c r="L567" s="14" t="n"/>
      <c r="M567" s="15">
        <f>IF(OR(A567="",B567=""),"",IF(AND(ISNUMBER(F567),H567&lt;&gt;"Компания"),D567+L567,0))</f>
        <v/>
      </c>
      <c r="N567" s="21">
        <f>SUMPRODUCT(MAX((Брони!$B$2:$B$500=B567)*((Брони!$F$2:$F$500="Выдана")+(Брони!$F$2:$F$500="Возвращена"))*(Брони!$D$2:$D$500&lt;=A567)*Брони!$D$2:$D$500))</f>
        <v/>
      </c>
      <c r="O567" s="19">
        <f>SUMPRODUCT((Брони!$B$2:$B$500=B567)*(Брони!$D$2:$D$500=N567)*((((Брони!$F$2:$F$500="Выдана")*NOW())+((Брони!$F$2:$F$500="Возвращена")*Брони!$E$2:$E$500))&gt;=A567)*Брони!$A$2:$A$500)</f>
        <v/>
      </c>
      <c r="P567" s="19">
        <f>SUMPRODUCT((Брони!$B$2:$B$500=B567)*(Брони!$D$2:$D$500=N567)*(((Брони!$F$2:$F$500="Выдана")+(Брони!$F$2:$F$500="Возвращена"))))</f>
        <v/>
      </c>
      <c r="Q567" s="10" t="n"/>
    </row>
    <row r="568">
      <c r="A568" s="11" t="n"/>
      <c r="B568" s="10" t="n"/>
      <c r="C568" s="10" t="n"/>
      <c r="D568" s="14" t="n"/>
      <c r="E568" s="10" t="n"/>
      <c r="F568" s="20">
        <f>IF(OR(A568="",B568=""),"",IF(OR(NOT(ISNUMBER(A568)),ISERROR(N568+O568+P568)),"Проверьте даты",IF(AND(N568&gt;0,P568&gt;1),"Дубль",IF(AND(N568&gt;0,O568&gt;0),O568,"Вне аренды"))))</f>
        <v/>
      </c>
      <c r="G568" s="12">
        <f>IF(ISNUMBER(F568),IFERROR(INDEX(Брони!$C$2:$C$500,MATCH(F568,Брони!$A$2:$A$500,0)),""),"")</f>
        <v/>
      </c>
      <c r="H568" s="10" t="n"/>
      <c r="I568" s="18" t="n"/>
      <c r="J568" s="12">
        <f>IF(AND(ISNUMBER(F568),I568&lt;&gt;""),IFERROR(IF(AND(INDEX(Брони!$F$2:$F$500,MATCH(F568,Брони!$A$2:$A$500,0))="Возвращена",I568&gt;INDEX(Брони!$E$2:$E$500,MATCH(F568,Брони!$A$2:$A$500,0))),"Да",""),""),"")</f>
        <v/>
      </c>
      <c r="K568" s="10" t="n"/>
      <c r="L568" s="14" t="n"/>
      <c r="M568" s="15">
        <f>IF(OR(A568="",B568=""),"",IF(AND(ISNUMBER(F568),H568&lt;&gt;"Компания"),D568+L568,0))</f>
        <v/>
      </c>
      <c r="N568" s="21">
        <f>SUMPRODUCT(MAX((Брони!$B$2:$B$500=B568)*((Брони!$F$2:$F$500="Выдана")+(Брони!$F$2:$F$500="Возвращена"))*(Брони!$D$2:$D$500&lt;=A568)*Брони!$D$2:$D$500))</f>
        <v/>
      </c>
      <c r="O568" s="19">
        <f>SUMPRODUCT((Брони!$B$2:$B$500=B568)*(Брони!$D$2:$D$500=N568)*((((Брони!$F$2:$F$500="Выдана")*NOW())+((Брони!$F$2:$F$500="Возвращена")*Брони!$E$2:$E$500))&gt;=A568)*Брони!$A$2:$A$500)</f>
        <v/>
      </c>
      <c r="P568" s="19">
        <f>SUMPRODUCT((Брони!$B$2:$B$500=B568)*(Брони!$D$2:$D$500=N568)*(((Брони!$F$2:$F$500="Выдана")+(Брони!$F$2:$F$500="Возвращена"))))</f>
        <v/>
      </c>
      <c r="Q568" s="10" t="n"/>
    </row>
    <row r="569">
      <c r="A569" s="11" t="n"/>
      <c r="B569" s="10" t="n"/>
      <c r="C569" s="10" t="n"/>
      <c r="D569" s="14" t="n"/>
      <c r="E569" s="10" t="n"/>
      <c r="F569" s="20">
        <f>IF(OR(A569="",B569=""),"",IF(OR(NOT(ISNUMBER(A569)),ISERROR(N569+O569+P569)),"Проверьте даты",IF(AND(N569&gt;0,P569&gt;1),"Дубль",IF(AND(N569&gt;0,O569&gt;0),O569,"Вне аренды"))))</f>
        <v/>
      </c>
      <c r="G569" s="12">
        <f>IF(ISNUMBER(F569),IFERROR(INDEX(Брони!$C$2:$C$500,MATCH(F569,Брони!$A$2:$A$500,0)),""),"")</f>
        <v/>
      </c>
      <c r="H569" s="10" t="n"/>
      <c r="I569" s="18" t="n"/>
      <c r="J569" s="12">
        <f>IF(AND(ISNUMBER(F569),I569&lt;&gt;""),IFERROR(IF(AND(INDEX(Брони!$F$2:$F$500,MATCH(F569,Брони!$A$2:$A$500,0))="Возвращена",I569&gt;INDEX(Брони!$E$2:$E$500,MATCH(F569,Брони!$A$2:$A$500,0))),"Да",""),""),"")</f>
        <v/>
      </c>
      <c r="K569" s="10" t="n"/>
      <c r="L569" s="14" t="n"/>
      <c r="M569" s="15">
        <f>IF(OR(A569="",B569=""),"",IF(AND(ISNUMBER(F569),H569&lt;&gt;"Компания"),D569+L569,0))</f>
        <v/>
      </c>
      <c r="N569" s="21">
        <f>SUMPRODUCT(MAX((Брони!$B$2:$B$500=B569)*((Брони!$F$2:$F$500="Выдана")+(Брони!$F$2:$F$500="Возвращена"))*(Брони!$D$2:$D$500&lt;=A569)*Брони!$D$2:$D$500))</f>
        <v/>
      </c>
      <c r="O569" s="19">
        <f>SUMPRODUCT((Брони!$B$2:$B$500=B569)*(Брони!$D$2:$D$500=N569)*((((Брони!$F$2:$F$500="Выдана")*NOW())+((Брони!$F$2:$F$500="Возвращена")*Брони!$E$2:$E$500))&gt;=A569)*Брони!$A$2:$A$500)</f>
        <v/>
      </c>
      <c r="P569" s="19">
        <f>SUMPRODUCT((Брони!$B$2:$B$500=B569)*(Брони!$D$2:$D$500=N569)*(((Брони!$F$2:$F$500="Выдана")+(Брони!$F$2:$F$500="Возвращена"))))</f>
        <v/>
      </c>
      <c r="Q569" s="10" t="n"/>
    </row>
    <row r="570">
      <c r="A570" s="11" t="n"/>
      <c r="B570" s="10" t="n"/>
      <c r="C570" s="10" t="n"/>
      <c r="D570" s="14" t="n"/>
      <c r="E570" s="10" t="n"/>
      <c r="F570" s="20">
        <f>IF(OR(A570="",B570=""),"",IF(OR(NOT(ISNUMBER(A570)),ISERROR(N570+O570+P570)),"Проверьте даты",IF(AND(N570&gt;0,P570&gt;1),"Дубль",IF(AND(N570&gt;0,O570&gt;0),O570,"Вне аренды"))))</f>
        <v/>
      </c>
      <c r="G570" s="12">
        <f>IF(ISNUMBER(F570),IFERROR(INDEX(Брони!$C$2:$C$500,MATCH(F570,Брони!$A$2:$A$500,0)),""),"")</f>
        <v/>
      </c>
      <c r="H570" s="10" t="n"/>
      <c r="I570" s="18" t="n"/>
      <c r="J570" s="12">
        <f>IF(AND(ISNUMBER(F570),I570&lt;&gt;""),IFERROR(IF(AND(INDEX(Брони!$F$2:$F$500,MATCH(F570,Брони!$A$2:$A$500,0))="Возвращена",I570&gt;INDEX(Брони!$E$2:$E$500,MATCH(F570,Брони!$A$2:$A$500,0))),"Да",""),""),"")</f>
        <v/>
      </c>
      <c r="K570" s="10" t="n"/>
      <c r="L570" s="14" t="n"/>
      <c r="M570" s="15">
        <f>IF(OR(A570="",B570=""),"",IF(AND(ISNUMBER(F570),H570&lt;&gt;"Компания"),D570+L570,0))</f>
        <v/>
      </c>
      <c r="N570" s="21">
        <f>SUMPRODUCT(MAX((Брони!$B$2:$B$500=B570)*((Брони!$F$2:$F$500="Выдана")+(Брони!$F$2:$F$500="Возвращена"))*(Брони!$D$2:$D$500&lt;=A570)*Брони!$D$2:$D$500))</f>
        <v/>
      </c>
      <c r="O570" s="19">
        <f>SUMPRODUCT((Брони!$B$2:$B$500=B570)*(Брони!$D$2:$D$500=N570)*((((Брони!$F$2:$F$500="Выдана")*NOW())+((Брони!$F$2:$F$500="Возвращена")*Брони!$E$2:$E$500))&gt;=A570)*Брони!$A$2:$A$500)</f>
        <v/>
      </c>
      <c r="P570" s="19">
        <f>SUMPRODUCT((Брони!$B$2:$B$500=B570)*(Брони!$D$2:$D$500=N570)*(((Брони!$F$2:$F$500="Выдана")+(Брони!$F$2:$F$500="Возвращена"))))</f>
        <v/>
      </c>
      <c r="Q570" s="10" t="n"/>
    </row>
    <row r="571">
      <c r="A571" s="11" t="n"/>
      <c r="B571" s="10" t="n"/>
      <c r="C571" s="10" t="n"/>
      <c r="D571" s="14" t="n"/>
      <c r="E571" s="10" t="n"/>
      <c r="F571" s="20">
        <f>IF(OR(A571="",B571=""),"",IF(OR(NOT(ISNUMBER(A571)),ISERROR(N571+O571+P571)),"Проверьте даты",IF(AND(N571&gt;0,P571&gt;1),"Дубль",IF(AND(N571&gt;0,O571&gt;0),O571,"Вне аренды"))))</f>
        <v/>
      </c>
      <c r="G571" s="12">
        <f>IF(ISNUMBER(F571),IFERROR(INDEX(Брони!$C$2:$C$500,MATCH(F571,Брони!$A$2:$A$500,0)),""),"")</f>
        <v/>
      </c>
      <c r="H571" s="10" t="n"/>
      <c r="I571" s="18" t="n"/>
      <c r="J571" s="12">
        <f>IF(AND(ISNUMBER(F571),I571&lt;&gt;""),IFERROR(IF(AND(INDEX(Брони!$F$2:$F$500,MATCH(F571,Брони!$A$2:$A$500,0))="Возвращена",I571&gt;INDEX(Брони!$E$2:$E$500,MATCH(F571,Брони!$A$2:$A$500,0))),"Да",""),""),"")</f>
        <v/>
      </c>
      <c r="K571" s="10" t="n"/>
      <c r="L571" s="14" t="n"/>
      <c r="M571" s="15">
        <f>IF(OR(A571="",B571=""),"",IF(AND(ISNUMBER(F571),H571&lt;&gt;"Компания"),D571+L571,0))</f>
        <v/>
      </c>
      <c r="N571" s="21">
        <f>SUMPRODUCT(MAX((Брони!$B$2:$B$500=B571)*((Брони!$F$2:$F$500="Выдана")+(Брони!$F$2:$F$500="Возвращена"))*(Брони!$D$2:$D$500&lt;=A571)*Брони!$D$2:$D$500))</f>
        <v/>
      </c>
      <c r="O571" s="19">
        <f>SUMPRODUCT((Брони!$B$2:$B$500=B571)*(Брони!$D$2:$D$500=N571)*((((Брони!$F$2:$F$500="Выдана")*NOW())+((Брони!$F$2:$F$500="Возвращена")*Брони!$E$2:$E$500))&gt;=A571)*Брони!$A$2:$A$500)</f>
        <v/>
      </c>
      <c r="P571" s="19">
        <f>SUMPRODUCT((Брони!$B$2:$B$500=B571)*(Брони!$D$2:$D$500=N571)*(((Брони!$F$2:$F$500="Выдана")+(Брони!$F$2:$F$500="Возвращена"))))</f>
        <v/>
      </c>
      <c r="Q571" s="10" t="n"/>
    </row>
    <row r="572">
      <c r="A572" s="11" t="n"/>
      <c r="B572" s="10" t="n"/>
      <c r="C572" s="10" t="n"/>
      <c r="D572" s="14" t="n"/>
      <c r="E572" s="10" t="n"/>
      <c r="F572" s="20">
        <f>IF(OR(A572="",B572=""),"",IF(OR(NOT(ISNUMBER(A572)),ISERROR(N572+O572+P572)),"Проверьте даты",IF(AND(N572&gt;0,P572&gt;1),"Дубль",IF(AND(N572&gt;0,O572&gt;0),O572,"Вне аренды"))))</f>
        <v/>
      </c>
      <c r="G572" s="12">
        <f>IF(ISNUMBER(F572),IFERROR(INDEX(Брони!$C$2:$C$500,MATCH(F572,Брони!$A$2:$A$500,0)),""),"")</f>
        <v/>
      </c>
      <c r="H572" s="10" t="n"/>
      <c r="I572" s="18" t="n"/>
      <c r="J572" s="12">
        <f>IF(AND(ISNUMBER(F572),I572&lt;&gt;""),IFERROR(IF(AND(INDEX(Брони!$F$2:$F$500,MATCH(F572,Брони!$A$2:$A$500,0))="Возвращена",I572&gt;INDEX(Брони!$E$2:$E$500,MATCH(F572,Брони!$A$2:$A$500,0))),"Да",""),""),"")</f>
        <v/>
      </c>
      <c r="K572" s="10" t="n"/>
      <c r="L572" s="14" t="n"/>
      <c r="M572" s="15">
        <f>IF(OR(A572="",B572=""),"",IF(AND(ISNUMBER(F572),H572&lt;&gt;"Компания"),D572+L572,0))</f>
        <v/>
      </c>
      <c r="N572" s="21">
        <f>SUMPRODUCT(MAX((Брони!$B$2:$B$500=B572)*((Брони!$F$2:$F$500="Выдана")+(Брони!$F$2:$F$500="Возвращена"))*(Брони!$D$2:$D$500&lt;=A572)*Брони!$D$2:$D$500))</f>
        <v/>
      </c>
      <c r="O572" s="19">
        <f>SUMPRODUCT((Брони!$B$2:$B$500=B572)*(Брони!$D$2:$D$500=N572)*((((Брони!$F$2:$F$500="Выдана")*NOW())+((Брони!$F$2:$F$500="Возвращена")*Брони!$E$2:$E$500))&gt;=A572)*Брони!$A$2:$A$500)</f>
        <v/>
      </c>
      <c r="P572" s="19">
        <f>SUMPRODUCT((Брони!$B$2:$B$500=B572)*(Брони!$D$2:$D$500=N572)*(((Брони!$F$2:$F$500="Выдана")+(Брони!$F$2:$F$500="Возвращена"))))</f>
        <v/>
      </c>
      <c r="Q572" s="10" t="n"/>
    </row>
    <row r="573">
      <c r="A573" s="11" t="n"/>
      <c r="B573" s="10" t="n"/>
      <c r="C573" s="10" t="n"/>
      <c r="D573" s="14" t="n"/>
      <c r="E573" s="10" t="n"/>
      <c r="F573" s="20">
        <f>IF(OR(A573="",B573=""),"",IF(OR(NOT(ISNUMBER(A573)),ISERROR(N573+O573+P573)),"Проверьте даты",IF(AND(N573&gt;0,P573&gt;1),"Дубль",IF(AND(N573&gt;0,O573&gt;0),O573,"Вне аренды"))))</f>
        <v/>
      </c>
      <c r="G573" s="12">
        <f>IF(ISNUMBER(F573),IFERROR(INDEX(Брони!$C$2:$C$500,MATCH(F573,Брони!$A$2:$A$500,0)),""),"")</f>
        <v/>
      </c>
      <c r="H573" s="10" t="n"/>
      <c r="I573" s="18" t="n"/>
      <c r="J573" s="12">
        <f>IF(AND(ISNUMBER(F573),I573&lt;&gt;""),IFERROR(IF(AND(INDEX(Брони!$F$2:$F$500,MATCH(F573,Брони!$A$2:$A$500,0))="Возвращена",I573&gt;INDEX(Брони!$E$2:$E$500,MATCH(F573,Брони!$A$2:$A$500,0))),"Да",""),""),"")</f>
        <v/>
      </c>
      <c r="K573" s="10" t="n"/>
      <c r="L573" s="14" t="n"/>
      <c r="M573" s="15">
        <f>IF(OR(A573="",B573=""),"",IF(AND(ISNUMBER(F573),H573&lt;&gt;"Компания"),D573+L573,0))</f>
        <v/>
      </c>
      <c r="N573" s="21">
        <f>SUMPRODUCT(MAX((Брони!$B$2:$B$500=B573)*((Брони!$F$2:$F$500="Выдана")+(Брони!$F$2:$F$500="Возвращена"))*(Брони!$D$2:$D$500&lt;=A573)*Брони!$D$2:$D$500))</f>
        <v/>
      </c>
      <c r="O573" s="19">
        <f>SUMPRODUCT((Брони!$B$2:$B$500=B573)*(Брони!$D$2:$D$500=N573)*((((Брони!$F$2:$F$500="Выдана")*NOW())+((Брони!$F$2:$F$500="Возвращена")*Брони!$E$2:$E$500))&gt;=A573)*Брони!$A$2:$A$500)</f>
        <v/>
      </c>
      <c r="P573" s="19">
        <f>SUMPRODUCT((Брони!$B$2:$B$500=B573)*(Брони!$D$2:$D$500=N573)*(((Брони!$F$2:$F$500="Выдана")+(Брони!$F$2:$F$500="Возвращена"))))</f>
        <v/>
      </c>
      <c r="Q573" s="10" t="n"/>
    </row>
    <row r="574">
      <c r="A574" s="11" t="n"/>
      <c r="B574" s="10" t="n"/>
      <c r="C574" s="10" t="n"/>
      <c r="D574" s="14" t="n"/>
      <c r="E574" s="10" t="n"/>
      <c r="F574" s="20">
        <f>IF(OR(A574="",B574=""),"",IF(OR(NOT(ISNUMBER(A574)),ISERROR(N574+O574+P574)),"Проверьте даты",IF(AND(N574&gt;0,P574&gt;1),"Дубль",IF(AND(N574&gt;0,O574&gt;0),O574,"Вне аренды"))))</f>
        <v/>
      </c>
      <c r="G574" s="12">
        <f>IF(ISNUMBER(F574),IFERROR(INDEX(Брони!$C$2:$C$500,MATCH(F574,Брони!$A$2:$A$500,0)),""),"")</f>
        <v/>
      </c>
      <c r="H574" s="10" t="n"/>
      <c r="I574" s="18" t="n"/>
      <c r="J574" s="12">
        <f>IF(AND(ISNUMBER(F574),I574&lt;&gt;""),IFERROR(IF(AND(INDEX(Брони!$F$2:$F$500,MATCH(F574,Брони!$A$2:$A$500,0))="Возвращена",I574&gt;INDEX(Брони!$E$2:$E$500,MATCH(F574,Брони!$A$2:$A$500,0))),"Да",""),""),"")</f>
        <v/>
      </c>
      <c r="K574" s="10" t="n"/>
      <c r="L574" s="14" t="n"/>
      <c r="M574" s="15">
        <f>IF(OR(A574="",B574=""),"",IF(AND(ISNUMBER(F574),H574&lt;&gt;"Компания"),D574+L574,0))</f>
        <v/>
      </c>
      <c r="N574" s="21">
        <f>SUMPRODUCT(MAX((Брони!$B$2:$B$500=B574)*((Брони!$F$2:$F$500="Выдана")+(Брони!$F$2:$F$500="Возвращена"))*(Брони!$D$2:$D$500&lt;=A574)*Брони!$D$2:$D$500))</f>
        <v/>
      </c>
      <c r="O574" s="19">
        <f>SUMPRODUCT((Брони!$B$2:$B$500=B574)*(Брони!$D$2:$D$500=N574)*((((Брони!$F$2:$F$500="Выдана")*NOW())+((Брони!$F$2:$F$500="Возвращена")*Брони!$E$2:$E$500))&gt;=A574)*Брони!$A$2:$A$500)</f>
        <v/>
      </c>
      <c r="P574" s="19">
        <f>SUMPRODUCT((Брони!$B$2:$B$500=B574)*(Брони!$D$2:$D$500=N574)*(((Брони!$F$2:$F$500="Выдана")+(Брони!$F$2:$F$500="Возвращена"))))</f>
        <v/>
      </c>
      <c r="Q574" s="10" t="n"/>
    </row>
    <row r="575">
      <c r="A575" s="11" t="n"/>
      <c r="B575" s="10" t="n"/>
      <c r="C575" s="10" t="n"/>
      <c r="D575" s="14" t="n"/>
      <c r="E575" s="10" t="n"/>
      <c r="F575" s="20">
        <f>IF(OR(A575="",B575=""),"",IF(OR(NOT(ISNUMBER(A575)),ISERROR(N575+O575+P575)),"Проверьте даты",IF(AND(N575&gt;0,P575&gt;1),"Дубль",IF(AND(N575&gt;0,O575&gt;0),O575,"Вне аренды"))))</f>
        <v/>
      </c>
      <c r="G575" s="12">
        <f>IF(ISNUMBER(F575),IFERROR(INDEX(Брони!$C$2:$C$500,MATCH(F575,Брони!$A$2:$A$500,0)),""),"")</f>
        <v/>
      </c>
      <c r="H575" s="10" t="n"/>
      <c r="I575" s="18" t="n"/>
      <c r="J575" s="12">
        <f>IF(AND(ISNUMBER(F575),I575&lt;&gt;""),IFERROR(IF(AND(INDEX(Брони!$F$2:$F$500,MATCH(F575,Брони!$A$2:$A$500,0))="Возвращена",I575&gt;INDEX(Брони!$E$2:$E$500,MATCH(F575,Брони!$A$2:$A$500,0))),"Да",""),""),"")</f>
        <v/>
      </c>
      <c r="K575" s="10" t="n"/>
      <c r="L575" s="14" t="n"/>
      <c r="M575" s="15">
        <f>IF(OR(A575="",B575=""),"",IF(AND(ISNUMBER(F575),H575&lt;&gt;"Компания"),D575+L575,0))</f>
        <v/>
      </c>
      <c r="N575" s="21">
        <f>SUMPRODUCT(MAX((Брони!$B$2:$B$500=B575)*((Брони!$F$2:$F$500="Выдана")+(Брони!$F$2:$F$500="Возвращена"))*(Брони!$D$2:$D$500&lt;=A575)*Брони!$D$2:$D$500))</f>
        <v/>
      </c>
      <c r="O575" s="19">
        <f>SUMPRODUCT((Брони!$B$2:$B$500=B575)*(Брони!$D$2:$D$500=N575)*((((Брони!$F$2:$F$500="Выдана")*NOW())+((Брони!$F$2:$F$500="Возвращена")*Брони!$E$2:$E$500))&gt;=A575)*Брони!$A$2:$A$500)</f>
        <v/>
      </c>
      <c r="P575" s="19">
        <f>SUMPRODUCT((Брони!$B$2:$B$500=B575)*(Брони!$D$2:$D$500=N575)*(((Брони!$F$2:$F$500="Выдана")+(Брони!$F$2:$F$500="Возвращена"))))</f>
        <v/>
      </c>
      <c r="Q575" s="10" t="n"/>
    </row>
    <row r="576">
      <c r="A576" s="11" t="n"/>
      <c r="B576" s="10" t="n"/>
      <c r="C576" s="10" t="n"/>
      <c r="D576" s="14" t="n"/>
      <c r="E576" s="10" t="n"/>
      <c r="F576" s="20">
        <f>IF(OR(A576="",B576=""),"",IF(OR(NOT(ISNUMBER(A576)),ISERROR(N576+O576+P576)),"Проверьте даты",IF(AND(N576&gt;0,P576&gt;1),"Дубль",IF(AND(N576&gt;0,O576&gt;0),O576,"Вне аренды"))))</f>
        <v/>
      </c>
      <c r="G576" s="12">
        <f>IF(ISNUMBER(F576),IFERROR(INDEX(Брони!$C$2:$C$500,MATCH(F576,Брони!$A$2:$A$500,0)),""),"")</f>
        <v/>
      </c>
      <c r="H576" s="10" t="n"/>
      <c r="I576" s="18" t="n"/>
      <c r="J576" s="12">
        <f>IF(AND(ISNUMBER(F576),I576&lt;&gt;""),IFERROR(IF(AND(INDEX(Брони!$F$2:$F$500,MATCH(F576,Брони!$A$2:$A$500,0))="Возвращена",I576&gt;INDEX(Брони!$E$2:$E$500,MATCH(F576,Брони!$A$2:$A$500,0))),"Да",""),""),"")</f>
        <v/>
      </c>
      <c r="K576" s="10" t="n"/>
      <c r="L576" s="14" t="n"/>
      <c r="M576" s="15">
        <f>IF(OR(A576="",B576=""),"",IF(AND(ISNUMBER(F576),H576&lt;&gt;"Компания"),D576+L576,0))</f>
        <v/>
      </c>
      <c r="N576" s="21">
        <f>SUMPRODUCT(MAX((Брони!$B$2:$B$500=B576)*((Брони!$F$2:$F$500="Выдана")+(Брони!$F$2:$F$500="Возвращена"))*(Брони!$D$2:$D$500&lt;=A576)*Брони!$D$2:$D$500))</f>
        <v/>
      </c>
      <c r="O576" s="19">
        <f>SUMPRODUCT((Брони!$B$2:$B$500=B576)*(Брони!$D$2:$D$500=N576)*((((Брони!$F$2:$F$500="Выдана")*NOW())+((Брони!$F$2:$F$500="Возвращена")*Брони!$E$2:$E$500))&gt;=A576)*Брони!$A$2:$A$500)</f>
        <v/>
      </c>
      <c r="P576" s="19">
        <f>SUMPRODUCT((Брони!$B$2:$B$500=B576)*(Брони!$D$2:$D$500=N576)*(((Брони!$F$2:$F$500="Выдана")+(Брони!$F$2:$F$500="Возвращена"))))</f>
        <v/>
      </c>
      <c r="Q576" s="10" t="n"/>
    </row>
    <row r="577">
      <c r="A577" s="11" t="n"/>
      <c r="B577" s="10" t="n"/>
      <c r="C577" s="10" t="n"/>
      <c r="D577" s="14" t="n"/>
      <c r="E577" s="10" t="n"/>
      <c r="F577" s="20">
        <f>IF(OR(A577="",B577=""),"",IF(OR(NOT(ISNUMBER(A577)),ISERROR(N577+O577+P577)),"Проверьте даты",IF(AND(N577&gt;0,P577&gt;1),"Дубль",IF(AND(N577&gt;0,O577&gt;0),O577,"Вне аренды"))))</f>
        <v/>
      </c>
      <c r="G577" s="12">
        <f>IF(ISNUMBER(F577),IFERROR(INDEX(Брони!$C$2:$C$500,MATCH(F577,Брони!$A$2:$A$500,0)),""),"")</f>
        <v/>
      </c>
      <c r="H577" s="10" t="n"/>
      <c r="I577" s="18" t="n"/>
      <c r="J577" s="12">
        <f>IF(AND(ISNUMBER(F577),I577&lt;&gt;""),IFERROR(IF(AND(INDEX(Брони!$F$2:$F$500,MATCH(F577,Брони!$A$2:$A$500,0))="Возвращена",I577&gt;INDEX(Брони!$E$2:$E$500,MATCH(F577,Брони!$A$2:$A$500,0))),"Да",""),""),"")</f>
        <v/>
      </c>
      <c r="K577" s="10" t="n"/>
      <c r="L577" s="14" t="n"/>
      <c r="M577" s="15">
        <f>IF(OR(A577="",B577=""),"",IF(AND(ISNUMBER(F577),H577&lt;&gt;"Компания"),D577+L577,0))</f>
        <v/>
      </c>
      <c r="N577" s="21">
        <f>SUMPRODUCT(MAX((Брони!$B$2:$B$500=B577)*((Брони!$F$2:$F$500="Выдана")+(Брони!$F$2:$F$500="Возвращена"))*(Брони!$D$2:$D$500&lt;=A577)*Брони!$D$2:$D$500))</f>
        <v/>
      </c>
      <c r="O577" s="19">
        <f>SUMPRODUCT((Брони!$B$2:$B$500=B577)*(Брони!$D$2:$D$500=N577)*((((Брони!$F$2:$F$500="Выдана")*NOW())+((Брони!$F$2:$F$500="Возвращена")*Брони!$E$2:$E$500))&gt;=A577)*Брони!$A$2:$A$500)</f>
        <v/>
      </c>
      <c r="P577" s="19">
        <f>SUMPRODUCT((Брони!$B$2:$B$500=B577)*(Брони!$D$2:$D$500=N577)*(((Брони!$F$2:$F$500="Выдана")+(Брони!$F$2:$F$500="Возвращена"))))</f>
        <v/>
      </c>
      <c r="Q577" s="10" t="n"/>
    </row>
    <row r="578">
      <c r="A578" s="11" t="n"/>
      <c r="B578" s="10" t="n"/>
      <c r="C578" s="10" t="n"/>
      <c r="D578" s="14" t="n"/>
      <c r="E578" s="10" t="n"/>
      <c r="F578" s="20">
        <f>IF(OR(A578="",B578=""),"",IF(OR(NOT(ISNUMBER(A578)),ISERROR(N578+O578+P578)),"Проверьте даты",IF(AND(N578&gt;0,P578&gt;1),"Дубль",IF(AND(N578&gt;0,O578&gt;0),O578,"Вне аренды"))))</f>
        <v/>
      </c>
      <c r="G578" s="12">
        <f>IF(ISNUMBER(F578),IFERROR(INDEX(Брони!$C$2:$C$500,MATCH(F578,Брони!$A$2:$A$500,0)),""),"")</f>
        <v/>
      </c>
      <c r="H578" s="10" t="n"/>
      <c r="I578" s="18" t="n"/>
      <c r="J578" s="12">
        <f>IF(AND(ISNUMBER(F578),I578&lt;&gt;""),IFERROR(IF(AND(INDEX(Брони!$F$2:$F$500,MATCH(F578,Брони!$A$2:$A$500,0))="Возвращена",I578&gt;INDEX(Брони!$E$2:$E$500,MATCH(F578,Брони!$A$2:$A$500,0))),"Да",""),""),"")</f>
        <v/>
      </c>
      <c r="K578" s="10" t="n"/>
      <c r="L578" s="14" t="n"/>
      <c r="M578" s="15">
        <f>IF(OR(A578="",B578=""),"",IF(AND(ISNUMBER(F578),H578&lt;&gt;"Компания"),D578+L578,0))</f>
        <v/>
      </c>
      <c r="N578" s="21">
        <f>SUMPRODUCT(MAX((Брони!$B$2:$B$500=B578)*((Брони!$F$2:$F$500="Выдана")+(Брони!$F$2:$F$500="Возвращена"))*(Брони!$D$2:$D$500&lt;=A578)*Брони!$D$2:$D$500))</f>
        <v/>
      </c>
      <c r="O578" s="19">
        <f>SUMPRODUCT((Брони!$B$2:$B$500=B578)*(Брони!$D$2:$D$500=N578)*((((Брони!$F$2:$F$500="Выдана")*NOW())+((Брони!$F$2:$F$500="Возвращена")*Брони!$E$2:$E$500))&gt;=A578)*Брони!$A$2:$A$500)</f>
        <v/>
      </c>
      <c r="P578" s="19">
        <f>SUMPRODUCT((Брони!$B$2:$B$500=B578)*(Брони!$D$2:$D$500=N578)*(((Брони!$F$2:$F$500="Выдана")+(Брони!$F$2:$F$500="Возвращена"))))</f>
        <v/>
      </c>
      <c r="Q578" s="10" t="n"/>
    </row>
    <row r="579">
      <c r="A579" s="11" t="n"/>
      <c r="B579" s="10" t="n"/>
      <c r="C579" s="10" t="n"/>
      <c r="D579" s="14" t="n"/>
      <c r="E579" s="10" t="n"/>
      <c r="F579" s="20">
        <f>IF(OR(A579="",B579=""),"",IF(OR(NOT(ISNUMBER(A579)),ISERROR(N579+O579+P579)),"Проверьте даты",IF(AND(N579&gt;0,P579&gt;1),"Дубль",IF(AND(N579&gt;0,O579&gt;0),O579,"Вне аренды"))))</f>
        <v/>
      </c>
      <c r="G579" s="12">
        <f>IF(ISNUMBER(F579),IFERROR(INDEX(Брони!$C$2:$C$500,MATCH(F579,Брони!$A$2:$A$500,0)),""),"")</f>
        <v/>
      </c>
      <c r="H579" s="10" t="n"/>
      <c r="I579" s="18" t="n"/>
      <c r="J579" s="12">
        <f>IF(AND(ISNUMBER(F579),I579&lt;&gt;""),IFERROR(IF(AND(INDEX(Брони!$F$2:$F$500,MATCH(F579,Брони!$A$2:$A$500,0))="Возвращена",I579&gt;INDEX(Брони!$E$2:$E$500,MATCH(F579,Брони!$A$2:$A$500,0))),"Да",""),""),"")</f>
        <v/>
      </c>
      <c r="K579" s="10" t="n"/>
      <c r="L579" s="14" t="n"/>
      <c r="M579" s="15">
        <f>IF(OR(A579="",B579=""),"",IF(AND(ISNUMBER(F579),H579&lt;&gt;"Компания"),D579+L579,0))</f>
        <v/>
      </c>
      <c r="N579" s="21">
        <f>SUMPRODUCT(MAX((Брони!$B$2:$B$500=B579)*((Брони!$F$2:$F$500="Выдана")+(Брони!$F$2:$F$500="Возвращена"))*(Брони!$D$2:$D$500&lt;=A579)*Брони!$D$2:$D$500))</f>
        <v/>
      </c>
      <c r="O579" s="19">
        <f>SUMPRODUCT((Брони!$B$2:$B$500=B579)*(Брони!$D$2:$D$500=N579)*((((Брони!$F$2:$F$500="Выдана")*NOW())+((Брони!$F$2:$F$500="Возвращена")*Брони!$E$2:$E$500))&gt;=A579)*Брони!$A$2:$A$500)</f>
        <v/>
      </c>
      <c r="P579" s="19">
        <f>SUMPRODUCT((Брони!$B$2:$B$500=B579)*(Брони!$D$2:$D$500=N579)*(((Брони!$F$2:$F$500="Выдана")+(Брони!$F$2:$F$500="Возвращена"))))</f>
        <v/>
      </c>
      <c r="Q579" s="10" t="n"/>
    </row>
    <row r="580">
      <c r="A580" s="11" t="n"/>
      <c r="B580" s="10" t="n"/>
      <c r="C580" s="10" t="n"/>
      <c r="D580" s="14" t="n"/>
      <c r="E580" s="10" t="n"/>
      <c r="F580" s="20">
        <f>IF(OR(A580="",B580=""),"",IF(OR(NOT(ISNUMBER(A580)),ISERROR(N580+O580+P580)),"Проверьте даты",IF(AND(N580&gt;0,P580&gt;1),"Дубль",IF(AND(N580&gt;0,O580&gt;0),O580,"Вне аренды"))))</f>
        <v/>
      </c>
      <c r="G580" s="12">
        <f>IF(ISNUMBER(F580),IFERROR(INDEX(Брони!$C$2:$C$500,MATCH(F580,Брони!$A$2:$A$500,0)),""),"")</f>
        <v/>
      </c>
      <c r="H580" s="10" t="n"/>
      <c r="I580" s="18" t="n"/>
      <c r="J580" s="12">
        <f>IF(AND(ISNUMBER(F580),I580&lt;&gt;""),IFERROR(IF(AND(INDEX(Брони!$F$2:$F$500,MATCH(F580,Брони!$A$2:$A$500,0))="Возвращена",I580&gt;INDEX(Брони!$E$2:$E$500,MATCH(F580,Брони!$A$2:$A$500,0))),"Да",""),""),"")</f>
        <v/>
      </c>
      <c r="K580" s="10" t="n"/>
      <c r="L580" s="14" t="n"/>
      <c r="M580" s="15">
        <f>IF(OR(A580="",B580=""),"",IF(AND(ISNUMBER(F580),H580&lt;&gt;"Компания"),D580+L580,0))</f>
        <v/>
      </c>
      <c r="N580" s="21">
        <f>SUMPRODUCT(MAX((Брони!$B$2:$B$500=B580)*((Брони!$F$2:$F$500="Выдана")+(Брони!$F$2:$F$500="Возвращена"))*(Брони!$D$2:$D$500&lt;=A580)*Брони!$D$2:$D$500))</f>
        <v/>
      </c>
      <c r="O580" s="19">
        <f>SUMPRODUCT((Брони!$B$2:$B$500=B580)*(Брони!$D$2:$D$500=N580)*((((Брони!$F$2:$F$500="Выдана")*NOW())+((Брони!$F$2:$F$500="Возвращена")*Брони!$E$2:$E$500))&gt;=A580)*Брони!$A$2:$A$500)</f>
        <v/>
      </c>
      <c r="P580" s="19">
        <f>SUMPRODUCT((Брони!$B$2:$B$500=B580)*(Брони!$D$2:$D$500=N580)*(((Брони!$F$2:$F$500="Выдана")+(Брони!$F$2:$F$500="Возвращена"))))</f>
        <v/>
      </c>
      <c r="Q580" s="10" t="n"/>
    </row>
    <row r="581">
      <c r="A581" s="11" t="n"/>
      <c r="B581" s="10" t="n"/>
      <c r="C581" s="10" t="n"/>
      <c r="D581" s="14" t="n"/>
      <c r="E581" s="10" t="n"/>
      <c r="F581" s="20">
        <f>IF(OR(A581="",B581=""),"",IF(OR(NOT(ISNUMBER(A581)),ISERROR(N581+O581+P581)),"Проверьте даты",IF(AND(N581&gt;0,P581&gt;1),"Дубль",IF(AND(N581&gt;0,O581&gt;0),O581,"Вне аренды"))))</f>
        <v/>
      </c>
      <c r="G581" s="12">
        <f>IF(ISNUMBER(F581),IFERROR(INDEX(Брони!$C$2:$C$500,MATCH(F581,Брони!$A$2:$A$500,0)),""),"")</f>
        <v/>
      </c>
      <c r="H581" s="10" t="n"/>
      <c r="I581" s="18" t="n"/>
      <c r="J581" s="12">
        <f>IF(AND(ISNUMBER(F581),I581&lt;&gt;""),IFERROR(IF(AND(INDEX(Брони!$F$2:$F$500,MATCH(F581,Брони!$A$2:$A$500,0))="Возвращена",I581&gt;INDEX(Брони!$E$2:$E$500,MATCH(F581,Брони!$A$2:$A$500,0))),"Да",""),""),"")</f>
        <v/>
      </c>
      <c r="K581" s="10" t="n"/>
      <c r="L581" s="14" t="n"/>
      <c r="M581" s="15">
        <f>IF(OR(A581="",B581=""),"",IF(AND(ISNUMBER(F581),H581&lt;&gt;"Компания"),D581+L581,0))</f>
        <v/>
      </c>
      <c r="N581" s="21">
        <f>SUMPRODUCT(MAX((Брони!$B$2:$B$500=B581)*((Брони!$F$2:$F$500="Выдана")+(Брони!$F$2:$F$500="Возвращена"))*(Брони!$D$2:$D$500&lt;=A581)*Брони!$D$2:$D$500))</f>
        <v/>
      </c>
      <c r="O581" s="19">
        <f>SUMPRODUCT((Брони!$B$2:$B$500=B581)*(Брони!$D$2:$D$500=N581)*((((Брони!$F$2:$F$500="Выдана")*NOW())+((Брони!$F$2:$F$500="Возвращена")*Брони!$E$2:$E$500))&gt;=A581)*Брони!$A$2:$A$500)</f>
        <v/>
      </c>
      <c r="P581" s="19">
        <f>SUMPRODUCT((Брони!$B$2:$B$500=B581)*(Брони!$D$2:$D$500=N581)*(((Брони!$F$2:$F$500="Выдана")+(Брони!$F$2:$F$500="Возвращена"))))</f>
        <v/>
      </c>
      <c r="Q581" s="10" t="n"/>
    </row>
    <row r="582">
      <c r="A582" s="11" t="n"/>
      <c r="B582" s="10" t="n"/>
      <c r="C582" s="10" t="n"/>
      <c r="D582" s="14" t="n"/>
      <c r="E582" s="10" t="n"/>
      <c r="F582" s="20">
        <f>IF(OR(A582="",B582=""),"",IF(OR(NOT(ISNUMBER(A582)),ISERROR(N582+O582+P582)),"Проверьте даты",IF(AND(N582&gt;0,P582&gt;1),"Дубль",IF(AND(N582&gt;0,O582&gt;0),O582,"Вне аренды"))))</f>
        <v/>
      </c>
      <c r="G582" s="12">
        <f>IF(ISNUMBER(F582),IFERROR(INDEX(Брони!$C$2:$C$500,MATCH(F582,Брони!$A$2:$A$500,0)),""),"")</f>
        <v/>
      </c>
      <c r="H582" s="10" t="n"/>
      <c r="I582" s="18" t="n"/>
      <c r="J582" s="12">
        <f>IF(AND(ISNUMBER(F582),I582&lt;&gt;""),IFERROR(IF(AND(INDEX(Брони!$F$2:$F$500,MATCH(F582,Брони!$A$2:$A$500,0))="Возвращена",I582&gt;INDEX(Брони!$E$2:$E$500,MATCH(F582,Брони!$A$2:$A$500,0))),"Да",""),""),"")</f>
        <v/>
      </c>
      <c r="K582" s="10" t="n"/>
      <c r="L582" s="14" t="n"/>
      <c r="M582" s="15">
        <f>IF(OR(A582="",B582=""),"",IF(AND(ISNUMBER(F582),H582&lt;&gt;"Компания"),D582+L582,0))</f>
        <v/>
      </c>
      <c r="N582" s="21">
        <f>SUMPRODUCT(MAX((Брони!$B$2:$B$500=B582)*((Брони!$F$2:$F$500="Выдана")+(Брони!$F$2:$F$500="Возвращена"))*(Брони!$D$2:$D$500&lt;=A582)*Брони!$D$2:$D$500))</f>
        <v/>
      </c>
      <c r="O582" s="19">
        <f>SUMPRODUCT((Брони!$B$2:$B$500=B582)*(Брони!$D$2:$D$500=N582)*((((Брони!$F$2:$F$500="Выдана")*NOW())+((Брони!$F$2:$F$500="Возвращена")*Брони!$E$2:$E$500))&gt;=A582)*Брони!$A$2:$A$500)</f>
        <v/>
      </c>
      <c r="P582" s="19">
        <f>SUMPRODUCT((Брони!$B$2:$B$500=B582)*(Брони!$D$2:$D$500=N582)*(((Брони!$F$2:$F$500="Выдана")+(Брони!$F$2:$F$500="Возвращена"))))</f>
        <v/>
      </c>
      <c r="Q582" s="10" t="n"/>
    </row>
    <row r="583">
      <c r="A583" s="11" t="n"/>
      <c r="B583" s="10" t="n"/>
      <c r="C583" s="10" t="n"/>
      <c r="D583" s="14" t="n"/>
      <c r="E583" s="10" t="n"/>
      <c r="F583" s="20">
        <f>IF(OR(A583="",B583=""),"",IF(OR(NOT(ISNUMBER(A583)),ISERROR(N583+O583+P583)),"Проверьте даты",IF(AND(N583&gt;0,P583&gt;1),"Дубль",IF(AND(N583&gt;0,O583&gt;0),O583,"Вне аренды"))))</f>
        <v/>
      </c>
      <c r="G583" s="12">
        <f>IF(ISNUMBER(F583),IFERROR(INDEX(Брони!$C$2:$C$500,MATCH(F583,Брони!$A$2:$A$500,0)),""),"")</f>
        <v/>
      </c>
      <c r="H583" s="10" t="n"/>
      <c r="I583" s="18" t="n"/>
      <c r="J583" s="12">
        <f>IF(AND(ISNUMBER(F583),I583&lt;&gt;""),IFERROR(IF(AND(INDEX(Брони!$F$2:$F$500,MATCH(F583,Брони!$A$2:$A$500,0))="Возвращена",I583&gt;INDEX(Брони!$E$2:$E$500,MATCH(F583,Брони!$A$2:$A$500,0))),"Да",""),""),"")</f>
        <v/>
      </c>
      <c r="K583" s="10" t="n"/>
      <c r="L583" s="14" t="n"/>
      <c r="M583" s="15">
        <f>IF(OR(A583="",B583=""),"",IF(AND(ISNUMBER(F583),H583&lt;&gt;"Компания"),D583+L583,0))</f>
        <v/>
      </c>
      <c r="N583" s="21">
        <f>SUMPRODUCT(MAX((Брони!$B$2:$B$500=B583)*((Брони!$F$2:$F$500="Выдана")+(Брони!$F$2:$F$500="Возвращена"))*(Брони!$D$2:$D$500&lt;=A583)*Брони!$D$2:$D$500))</f>
        <v/>
      </c>
      <c r="O583" s="19">
        <f>SUMPRODUCT((Брони!$B$2:$B$500=B583)*(Брони!$D$2:$D$500=N583)*((((Брони!$F$2:$F$500="Выдана")*NOW())+((Брони!$F$2:$F$500="Возвращена")*Брони!$E$2:$E$500))&gt;=A583)*Брони!$A$2:$A$500)</f>
        <v/>
      </c>
      <c r="P583" s="19">
        <f>SUMPRODUCT((Брони!$B$2:$B$500=B583)*(Брони!$D$2:$D$500=N583)*(((Брони!$F$2:$F$500="Выдана")+(Брони!$F$2:$F$500="Возвращена"))))</f>
        <v/>
      </c>
      <c r="Q583" s="10" t="n"/>
    </row>
    <row r="584">
      <c r="A584" s="11" t="n"/>
      <c r="B584" s="10" t="n"/>
      <c r="C584" s="10" t="n"/>
      <c r="D584" s="14" t="n"/>
      <c r="E584" s="10" t="n"/>
      <c r="F584" s="20">
        <f>IF(OR(A584="",B584=""),"",IF(OR(NOT(ISNUMBER(A584)),ISERROR(N584+O584+P584)),"Проверьте даты",IF(AND(N584&gt;0,P584&gt;1),"Дубль",IF(AND(N584&gt;0,O584&gt;0),O584,"Вне аренды"))))</f>
        <v/>
      </c>
      <c r="G584" s="12">
        <f>IF(ISNUMBER(F584),IFERROR(INDEX(Брони!$C$2:$C$500,MATCH(F584,Брони!$A$2:$A$500,0)),""),"")</f>
        <v/>
      </c>
      <c r="H584" s="10" t="n"/>
      <c r="I584" s="18" t="n"/>
      <c r="J584" s="12">
        <f>IF(AND(ISNUMBER(F584),I584&lt;&gt;""),IFERROR(IF(AND(INDEX(Брони!$F$2:$F$500,MATCH(F584,Брони!$A$2:$A$500,0))="Возвращена",I584&gt;INDEX(Брони!$E$2:$E$500,MATCH(F584,Брони!$A$2:$A$500,0))),"Да",""),""),"")</f>
        <v/>
      </c>
      <c r="K584" s="10" t="n"/>
      <c r="L584" s="14" t="n"/>
      <c r="M584" s="15">
        <f>IF(OR(A584="",B584=""),"",IF(AND(ISNUMBER(F584),H584&lt;&gt;"Компания"),D584+L584,0))</f>
        <v/>
      </c>
      <c r="N584" s="21">
        <f>SUMPRODUCT(MAX((Брони!$B$2:$B$500=B584)*((Брони!$F$2:$F$500="Выдана")+(Брони!$F$2:$F$500="Возвращена"))*(Брони!$D$2:$D$500&lt;=A584)*Брони!$D$2:$D$500))</f>
        <v/>
      </c>
      <c r="O584" s="19">
        <f>SUMPRODUCT((Брони!$B$2:$B$500=B584)*(Брони!$D$2:$D$500=N584)*((((Брони!$F$2:$F$500="Выдана")*NOW())+((Брони!$F$2:$F$500="Возвращена")*Брони!$E$2:$E$500))&gt;=A584)*Брони!$A$2:$A$500)</f>
        <v/>
      </c>
      <c r="P584" s="19">
        <f>SUMPRODUCT((Брони!$B$2:$B$500=B584)*(Брони!$D$2:$D$500=N584)*(((Брони!$F$2:$F$500="Выдана")+(Брони!$F$2:$F$500="Возвращена"))))</f>
        <v/>
      </c>
      <c r="Q584" s="10" t="n"/>
    </row>
    <row r="585">
      <c r="A585" s="11" t="n"/>
      <c r="B585" s="10" t="n"/>
      <c r="C585" s="10" t="n"/>
      <c r="D585" s="14" t="n"/>
      <c r="E585" s="10" t="n"/>
      <c r="F585" s="20">
        <f>IF(OR(A585="",B585=""),"",IF(OR(NOT(ISNUMBER(A585)),ISERROR(N585+O585+P585)),"Проверьте даты",IF(AND(N585&gt;0,P585&gt;1),"Дубль",IF(AND(N585&gt;0,O585&gt;0),O585,"Вне аренды"))))</f>
        <v/>
      </c>
      <c r="G585" s="12">
        <f>IF(ISNUMBER(F585),IFERROR(INDEX(Брони!$C$2:$C$500,MATCH(F585,Брони!$A$2:$A$500,0)),""),"")</f>
        <v/>
      </c>
      <c r="H585" s="10" t="n"/>
      <c r="I585" s="18" t="n"/>
      <c r="J585" s="12">
        <f>IF(AND(ISNUMBER(F585),I585&lt;&gt;""),IFERROR(IF(AND(INDEX(Брони!$F$2:$F$500,MATCH(F585,Брони!$A$2:$A$500,0))="Возвращена",I585&gt;INDEX(Брони!$E$2:$E$500,MATCH(F585,Брони!$A$2:$A$500,0))),"Да",""),""),"")</f>
        <v/>
      </c>
      <c r="K585" s="10" t="n"/>
      <c r="L585" s="14" t="n"/>
      <c r="M585" s="15">
        <f>IF(OR(A585="",B585=""),"",IF(AND(ISNUMBER(F585),H585&lt;&gt;"Компания"),D585+L585,0))</f>
        <v/>
      </c>
      <c r="N585" s="21">
        <f>SUMPRODUCT(MAX((Брони!$B$2:$B$500=B585)*((Брони!$F$2:$F$500="Выдана")+(Брони!$F$2:$F$500="Возвращена"))*(Брони!$D$2:$D$500&lt;=A585)*Брони!$D$2:$D$500))</f>
        <v/>
      </c>
      <c r="O585" s="19">
        <f>SUMPRODUCT((Брони!$B$2:$B$500=B585)*(Брони!$D$2:$D$500=N585)*((((Брони!$F$2:$F$500="Выдана")*NOW())+((Брони!$F$2:$F$500="Возвращена")*Брони!$E$2:$E$500))&gt;=A585)*Брони!$A$2:$A$500)</f>
        <v/>
      </c>
      <c r="P585" s="19">
        <f>SUMPRODUCT((Брони!$B$2:$B$500=B585)*(Брони!$D$2:$D$500=N585)*(((Брони!$F$2:$F$500="Выдана")+(Брони!$F$2:$F$500="Возвращена"))))</f>
        <v/>
      </c>
      <c r="Q585" s="10" t="n"/>
    </row>
    <row r="586">
      <c r="A586" s="11" t="n"/>
      <c r="B586" s="10" t="n"/>
      <c r="C586" s="10" t="n"/>
      <c r="D586" s="14" t="n"/>
      <c r="E586" s="10" t="n"/>
      <c r="F586" s="20">
        <f>IF(OR(A586="",B586=""),"",IF(OR(NOT(ISNUMBER(A586)),ISERROR(N586+O586+P586)),"Проверьте даты",IF(AND(N586&gt;0,P586&gt;1),"Дубль",IF(AND(N586&gt;0,O586&gt;0),O586,"Вне аренды"))))</f>
        <v/>
      </c>
      <c r="G586" s="12">
        <f>IF(ISNUMBER(F586),IFERROR(INDEX(Брони!$C$2:$C$500,MATCH(F586,Брони!$A$2:$A$500,0)),""),"")</f>
        <v/>
      </c>
      <c r="H586" s="10" t="n"/>
      <c r="I586" s="18" t="n"/>
      <c r="J586" s="12">
        <f>IF(AND(ISNUMBER(F586),I586&lt;&gt;""),IFERROR(IF(AND(INDEX(Брони!$F$2:$F$500,MATCH(F586,Брони!$A$2:$A$500,0))="Возвращена",I586&gt;INDEX(Брони!$E$2:$E$500,MATCH(F586,Брони!$A$2:$A$500,0))),"Да",""),""),"")</f>
        <v/>
      </c>
      <c r="K586" s="10" t="n"/>
      <c r="L586" s="14" t="n"/>
      <c r="M586" s="15">
        <f>IF(OR(A586="",B586=""),"",IF(AND(ISNUMBER(F586),H586&lt;&gt;"Компания"),D586+L586,0))</f>
        <v/>
      </c>
      <c r="N586" s="21">
        <f>SUMPRODUCT(MAX((Брони!$B$2:$B$500=B586)*((Брони!$F$2:$F$500="Выдана")+(Брони!$F$2:$F$500="Возвращена"))*(Брони!$D$2:$D$500&lt;=A586)*Брони!$D$2:$D$500))</f>
        <v/>
      </c>
      <c r="O586" s="19">
        <f>SUMPRODUCT((Брони!$B$2:$B$500=B586)*(Брони!$D$2:$D$500=N586)*((((Брони!$F$2:$F$500="Выдана")*NOW())+((Брони!$F$2:$F$500="Возвращена")*Брони!$E$2:$E$500))&gt;=A586)*Брони!$A$2:$A$500)</f>
        <v/>
      </c>
      <c r="P586" s="19">
        <f>SUMPRODUCT((Брони!$B$2:$B$500=B586)*(Брони!$D$2:$D$500=N586)*(((Брони!$F$2:$F$500="Выдана")+(Брони!$F$2:$F$500="Возвращена"))))</f>
        <v/>
      </c>
      <c r="Q586" s="10" t="n"/>
    </row>
    <row r="587">
      <c r="A587" s="11" t="n"/>
      <c r="B587" s="10" t="n"/>
      <c r="C587" s="10" t="n"/>
      <c r="D587" s="14" t="n"/>
      <c r="E587" s="10" t="n"/>
      <c r="F587" s="20">
        <f>IF(OR(A587="",B587=""),"",IF(OR(NOT(ISNUMBER(A587)),ISERROR(N587+O587+P587)),"Проверьте даты",IF(AND(N587&gt;0,P587&gt;1),"Дубль",IF(AND(N587&gt;0,O587&gt;0),O587,"Вне аренды"))))</f>
        <v/>
      </c>
      <c r="G587" s="12">
        <f>IF(ISNUMBER(F587),IFERROR(INDEX(Брони!$C$2:$C$500,MATCH(F587,Брони!$A$2:$A$500,0)),""),"")</f>
        <v/>
      </c>
      <c r="H587" s="10" t="n"/>
      <c r="I587" s="18" t="n"/>
      <c r="J587" s="12">
        <f>IF(AND(ISNUMBER(F587),I587&lt;&gt;""),IFERROR(IF(AND(INDEX(Брони!$F$2:$F$500,MATCH(F587,Брони!$A$2:$A$500,0))="Возвращена",I587&gt;INDEX(Брони!$E$2:$E$500,MATCH(F587,Брони!$A$2:$A$500,0))),"Да",""),""),"")</f>
        <v/>
      </c>
      <c r="K587" s="10" t="n"/>
      <c r="L587" s="14" t="n"/>
      <c r="M587" s="15">
        <f>IF(OR(A587="",B587=""),"",IF(AND(ISNUMBER(F587),H587&lt;&gt;"Компания"),D587+L587,0))</f>
        <v/>
      </c>
      <c r="N587" s="21">
        <f>SUMPRODUCT(MAX((Брони!$B$2:$B$500=B587)*((Брони!$F$2:$F$500="Выдана")+(Брони!$F$2:$F$500="Возвращена"))*(Брони!$D$2:$D$500&lt;=A587)*Брони!$D$2:$D$500))</f>
        <v/>
      </c>
      <c r="O587" s="19">
        <f>SUMPRODUCT((Брони!$B$2:$B$500=B587)*(Брони!$D$2:$D$500=N587)*((((Брони!$F$2:$F$500="Выдана")*NOW())+((Брони!$F$2:$F$500="Возвращена")*Брони!$E$2:$E$500))&gt;=A587)*Брони!$A$2:$A$500)</f>
        <v/>
      </c>
      <c r="P587" s="19">
        <f>SUMPRODUCT((Брони!$B$2:$B$500=B587)*(Брони!$D$2:$D$500=N587)*(((Брони!$F$2:$F$500="Выдана")+(Брони!$F$2:$F$500="Возвращена"))))</f>
        <v/>
      </c>
      <c r="Q587" s="10" t="n"/>
    </row>
    <row r="588">
      <c r="A588" s="11" t="n"/>
      <c r="B588" s="10" t="n"/>
      <c r="C588" s="10" t="n"/>
      <c r="D588" s="14" t="n"/>
      <c r="E588" s="10" t="n"/>
      <c r="F588" s="20">
        <f>IF(OR(A588="",B588=""),"",IF(OR(NOT(ISNUMBER(A588)),ISERROR(N588+O588+P588)),"Проверьте даты",IF(AND(N588&gt;0,P588&gt;1),"Дубль",IF(AND(N588&gt;0,O588&gt;0),O588,"Вне аренды"))))</f>
        <v/>
      </c>
      <c r="G588" s="12">
        <f>IF(ISNUMBER(F588),IFERROR(INDEX(Брони!$C$2:$C$500,MATCH(F588,Брони!$A$2:$A$500,0)),""),"")</f>
        <v/>
      </c>
      <c r="H588" s="10" t="n"/>
      <c r="I588" s="18" t="n"/>
      <c r="J588" s="12">
        <f>IF(AND(ISNUMBER(F588),I588&lt;&gt;""),IFERROR(IF(AND(INDEX(Брони!$F$2:$F$500,MATCH(F588,Брони!$A$2:$A$500,0))="Возвращена",I588&gt;INDEX(Брони!$E$2:$E$500,MATCH(F588,Брони!$A$2:$A$500,0))),"Да",""),""),"")</f>
        <v/>
      </c>
      <c r="K588" s="10" t="n"/>
      <c r="L588" s="14" t="n"/>
      <c r="M588" s="15">
        <f>IF(OR(A588="",B588=""),"",IF(AND(ISNUMBER(F588),H588&lt;&gt;"Компания"),D588+L588,0))</f>
        <v/>
      </c>
      <c r="N588" s="21">
        <f>SUMPRODUCT(MAX((Брони!$B$2:$B$500=B588)*((Брони!$F$2:$F$500="Выдана")+(Брони!$F$2:$F$500="Возвращена"))*(Брони!$D$2:$D$500&lt;=A588)*Брони!$D$2:$D$500))</f>
        <v/>
      </c>
      <c r="O588" s="19">
        <f>SUMPRODUCT((Брони!$B$2:$B$500=B588)*(Брони!$D$2:$D$500=N588)*((((Брони!$F$2:$F$500="Выдана")*NOW())+((Брони!$F$2:$F$500="Возвращена")*Брони!$E$2:$E$500))&gt;=A588)*Брони!$A$2:$A$500)</f>
        <v/>
      </c>
      <c r="P588" s="19">
        <f>SUMPRODUCT((Брони!$B$2:$B$500=B588)*(Брони!$D$2:$D$500=N588)*(((Брони!$F$2:$F$500="Выдана")+(Брони!$F$2:$F$500="Возвращена"))))</f>
        <v/>
      </c>
      <c r="Q588" s="10" t="n"/>
    </row>
    <row r="589">
      <c r="A589" s="11" t="n"/>
      <c r="B589" s="10" t="n"/>
      <c r="C589" s="10" t="n"/>
      <c r="D589" s="14" t="n"/>
      <c r="E589" s="10" t="n"/>
      <c r="F589" s="20">
        <f>IF(OR(A589="",B589=""),"",IF(OR(NOT(ISNUMBER(A589)),ISERROR(N589+O589+P589)),"Проверьте даты",IF(AND(N589&gt;0,P589&gt;1),"Дубль",IF(AND(N589&gt;0,O589&gt;0),O589,"Вне аренды"))))</f>
        <v/>
      </c>
      <c r="G589" s="12">
        <f>IF(ISNUMBER(F589),IFERROR(INDEX(Брони!$C$2:$C$500,MATCH(F589,Брони!$A$2:$A$500,0)),""),"")</f>
        <v/>
      </c>
      <c r="H589" s="10" t="n"/>
      <c r="I589" s="18" t="n"/>
      <c r="J589" s="12">
        <f>IF(AND(ISNUMBER(F589),I589&lt;&gt;""),IFERROR(IF(AND(INDEX(Брони!$F$2:$F$500,MATCH(F589,Брони!$A$2:$A$500,0))="Возвращена",I589&gt;INDEX(Брони!$E$2:$E$500,MATCH(F589,Брони!$A$2:$A$500,0))),"Да",""),""),"")</f>
        <v/>
      </c>
      <c r="K589" s="10" t="n"/>
      <c r="L589" s="14" t="n"/>
      <c r="M589" s="15">
        <f>IF(OR(A589="",B589=""),"",IF(AND(ISNUMBER(F589),H589&lt;&gt;"Компания"),D589+L589,0))</f>
        <v/>
      </c>
      <c r="N589" s="21">
        <f>SUMPRODUCT(MAX((Брони!$B$2:$B$500=B589)*((Брони!$F$2:$F$500="Выдана")+(Брони!$F$2:$F$500="Возвращена"))*(Брони!$D$2:$D$500&lt;=A589)*Брони!$D$2:$D$500))</f>
        <v/>
      </c>
      <c r="O589" s="19">
        <f>SUMPRODUCT((Брони!$B$2:$B$500=B589)*(Брони!$D$2:$D$500=N589)*((((Брони!$F$2:$F$500="Выдана")*NOW())+((Брони!$F$2:$F$500="Возвращена")*Брони!$E$2:$E$500))&gt;=A589)*Брони!$A$2:$A$500)</f>
        <v/>
      </c>
      <c r="P589" s="19">
        <f>SUMPRODUCT((Брони!$B$2:$B$500=B589)*(Брони!$D$2:$D$500=N589)*(((Брони!$F$2:$F$500="Выдана")+(Брони!$F$2:$F$500="Возвращена"))))</f>
        <v/>
      </c>
      <c r="Q589" s="10" t="n"/>
    </row>
    <row r="590">
      <c r="A590" s="11" t="n"/>
      <c r="B590" s="10" t="n"/>
      <c r="C590" s="10" t="n"/>
      <c r="D590" s="14" t="n"/>
      <c r="E590" s="10" t="n"/>
      <c r="F590" s="20">
        <f>IF(OR(A590="",B590=""),"",IF(OR(NOT(ISNUMBER(A590)),ISERROR(N590+O590+P590)),"Проверьте даты",IF(AND(N590&gt;0,P590&gt;1),"Дубль",IF(AND(N590&gt;0,O590&gt;0),O590,"Вне аренды"))))</f>
        <v/>
      </c>
      <c r="G590" s="12">
        <f>IF(ISNUMBER(F590),IFERROR(INDEX(Брони!$C$2:$C$500,MATCH(F590,Брони!$A$2:$A$500,0)),""),"")</f>
        <v/>
      </c>
      <c r="H590" s="10" t="n"/>
      <c r="I590" s="18" t="n"/>
      <c r="J590" s="12">
        <f>IF(AND(ISNUMBER(F590),I590&lt;&gt;""),IFERROR(IF(AND(INDEX(Брони!$F$2:$F$500,MATCH(F590,Брони!$A$2:$A$500,0))="Возвращена",I590&gt;INDEX(Брони!$E$2:$E$500,MATCH(F590,Брони!$A$2:$A$500,0))),"Да",""),""),"")</f>
        <v/>
      </c>
      <c r="K590" s="10" t="n"/>
      <c r="L590" s="14" t="n"/>
      <c r="M590" s="15">
        <f>IF(OR(A590="",B590=""),"",IF(AND(ISNUMBER(F590),H590&lt;&gt;"Компания"),D590+L590,0))</f>
        <v/>
      </c>
      <c r="N590" s="21">
        <f>SUMPRODUCT(MAX((Брони!$B$2:$B$500=B590)*((Брони!$F$2:$F$500="Выдана")+(Брони!$F$2:$F$500="Возвращена"))*(Брони!$D$2:$D$500&lt;=A590)*Брони!$D$2:$D$500))</f>
        <v/>
      </c>
      <c r="O590" s="19">
        <f>SUMPRODUCT((Брони!$B$2:$B$500=B590)*(Брони!$D$2:$D$500=N590)*((((Брони!$F$2:$F$500="Выдана")*NOW())+((Брони!$F$2:$F$500="Возвращена")*Брони!$E$2:$E$500))&gt;=A590)*Брони!$A$2:$A$500)</f>
        <v/>
      </c>
      <c r="P590" s="19">
        <f>SUMPRODUCT((Брони!$B$2:$B$500=B590)*(Брони!$D$2:$D$500=N590)*(((Брони!$F$2:$F$500="Выдана")+(Брони!$F$2:$F$500="Возвращена"))))</f>
        <v/>
      </c>
      <c r="Q590" s="10" t="n"/>
    </row>
    <row r="591">
      <c r="A591" s="11" t="n"/>
      <c r="B591" s="10" t="n"/>
      <c r="C591" s="10" t="n"/>
      <c r="D591" s="14" t="n"/>
      <c r="E591" s="10" t="n"/>
      <c r="F591" s="20">
        <f>IF(OR(A591="",B591=""),"",IF(OR(NOT(ISNUMBER(A591)),ISERROR(N591+O591+P591)),"Проверьте даты",IF(AND(N591&gt;0,P591&gt;1),"Дубль",IF(AND(N591&gt;0,O591&gt;0),O591,"Вне аренды"))))</f>
        <v/>
      </c>
      <c r="G591" s="12">
        <f>IF(ISNUMBER(F591),IFERROR(INDEX(Брони!$C$2:$C$500,MATCH(F591,Брони!$A$2:$A$500,0)),""),"")</f>
        <v/>
      </c>
      <c r="H591" s="10" t="n"/>
      <c r="I591" s="18" t="n"/>
      <c r="J591" s="12">
        <f>IF(AND(ISNUMBER(F591),I591&lt;&gt;""),IFERROR(IF(AND(INDEX(Брони!$F$2:$F$500,MATCH(F591,Брони!$A$2:$A$500,0))="Возвращена",I591&gt;INDEX(Брони!$E$2:$E$500,MATCH(F591,Брони!$A$2:$A$500,0))),"Да",""),""),"")</f>
        <v/>
      </c>
      <c r="K591" s="10" t="n"/>
      <c r="L591" s="14" t="n"/>
      <c r="M591" s="15">
        <f>IF(OR(A591="",B591=""),"",IF(AND(ISNUMBER(F591),H591&lt;&gt;"Компания"),D591+L591,0))</f>
        <v/>
      </c>
      <c r="N591" s="21">
        <f>SUMPRODUCT(MAX((Брони!$B$2:$B$500=B591)*((Брони!$F$2:$F$500="Выдана")+(Брони!$F$2:$F$500="Возвращена"))*(Брони!$D$2:$D$500&lt;=A591)*Брони!$D$2:$D$500))</f>
        <v/>
      </c>
      <c r="O591" s="19">
        <f>SUMPRODUCT((Брони!$B$2:$B$500=B591)*(Брони!$D$2:$D$500=N591)*((((Брони!$F$2:$F$500="Выдана")*NOW())+((Брони!$F$2:$F$500="Возвращена")*Брони!$E$2:$E$500))&gt;=A591)*Брони!$A$2:$A$500)</f>
        <v/>
      </c>
      <c r="P591" s="19">
        <f>SUMPRODUCT((Брони!$B$2:$B$500=B591)*(Брони!$D$2:$D$500=N591)*(((Брони!$F$2:$F$500="Выдана")+(Брони!$F$2:$F$500="Возвращена"))))</f>
        <v/>
      </c>
      <c r="Q591" s="10" t="n"/>
    </row>
    <row r="592">
      <c r="A592" s="11" t="n"/>
      <c r="B592" s="10" t="n"/>
      <c r="C592" s="10" t="n"/>
      <c r="D592" s="14" t="n"/>
      <c r="E592" s="10" t="n"/>
      <c r="F592" s="20">
        <f>IF(OR(A592="",B592=""),"",IF(OR(NOT(ISNUMBER(A592)),ISERROR(N592+O592+P592)),"Проверьте даты",IF(AND(N592&gt;0,P592&gt;1),"Дубль",IF(AND(N592&gt;0,O592&gt;0),O592,"Вне аренды"))))</f>
        <v/>
      </c>
      <c r="G592" s="12">
        <f>IF(ISNUMBER(F592),IFERROR(INDEX(Брони!$C$2:$C$500,MATCH(F592,Брони!$A$2:$A$500,0)),""),"")</f>
        <v/>
      </c>
      <c r="H592" s="10" t="n"/>
      <c r="I592" s="18" t="n"/>
      <c r="J592" s="12">
        <f>IF(AND(ISNUMBER(F592),I592&lt;&gt;""),IFERROR(IF(AND(INDEX(Брони!$F$2:$F$500,MATCH(F592,Брони!$A$2:$A$500,0))="Возвращена",I592&gt;INDEX(Брони!$E$2:$E$500,MATCH(F592,Брони!$A$2:$A$500,0))),"Да",""),""),"")</f>
        <v/>
      </c>
      <c r="K592" s="10" t="n"/>
      <c r="L592" s="14" t="n"/>
      <c r="M592" s="15">
        <f>IF(OR(A592="",B592=""),"",IF(AND(ISNUMBER(F592),H592&lt;&gt;"Компания"),D592+L592,0))</f>
        <v/>
      </c>
      <c r="N592" s="21">
        <f>SUMPRODUCT(MAX((Брони!$B$2:$B$500=B592)*((Брони!$F$2:$F$500="Выдана")+(Брони!$F$2:$F$500="Возвращена"))*(Брони!$D$2:$D$500&lt;=A592)*Брони!$D$2:$D$500))</f>
        <v/>
      </c>
      <c r="O592" s="19">
        <f>SUMPRODUCT((Брони!$B$2:$B$500=B592)*(Брони!$D$2:$D$500=N592)*((((Брони!$F$2:$F$500="Выдана")*NOW())+((Брони!$F$2:$F$500="Возвращена")*Брони!$E$2:$E$500))&gt;=A592)*Брони!$A$2:$A$500)</f>
        <v/>
      </c>
      <c r="P592" s="19">
        <f>SUMPRODUCT((Брони!$B$2:$B$500=B592)*(Брони!$D$2:$D$500=N592)*(((Брони!$F$2:$F$500="Выдана")+(Брони!$F$2:$F$500="Возвращена"))))</f>
        <v/>
      </c>
      <c r="Q592" s="10" t="n"/>
    </row>
    <row r="593">
      <c r="A593" s="11" t="n"/>
      <c r="B593" s="10" t="n"/>
      <c r="C593" s="10" t="n"/>
      <c r="D593" s="14" t="n"/>
      <c r="E593" s="10" t="n"/>
      <c r="F593" s="20">
        <f>IF(OR(A593="",B593=""),"",IF(OR(NOT(ISNUMBER(A593)),ISERROR(N593+O593+P593)),"Проверьте даты",IF(AND(N593&gt;0,P593&gt;1),"Дубль",IF(AND(N593&gt;0,O593&gt;0),O593,"Вне аренды"))))</f>
        <v/>
      </c>
      <c r="G593" s="12">
        <f>IF(ISNUMBER(F593),IFERROR(INDEX(Брони!$C$2:$C$500,MATCH(F593,Брони!$A$2:$A$500,0)),""),"")</f>
        <v/>
      </c>
      <c r="H593" s="10" t="n"/>
      <c r="I593" s="18" t="n"/>
      <c r="J593" s="12">
        <f>IF(AND(ISNUMBER(F593),I593&lt;&gt;""),IFERROR(IF(AND(INDEX(Брони!$F$2:$F$500,MATCH(F593,Брони!$A$2:$A$500,0))="Возвращена",I593&gt;INDEX(Брони!$E$2:$E$500,MATCH(F593,Брони!$A$2:$A$500,0))),"Да",""),""),"")</f>
        <v/>
      </c>
      <c r="K593" s="10" t="n"/>
      <c r="L593" s="14" t="n"/>
      <c r="M593" s="15">
        <f>IF(OR(A593="",B593=""),"",IF(AND(ISNUMBER(F593),H593&lt;&gt;"Компания"),D593+L593,0))</f>
        <v/>
      </c>
      <c r="N593" s="21">
        <f>SUMPRODUCT(MAX((Брони!$B$2:$B$500=B593)*((Брони!$F$2:$F$500="Выдана")+(Брони!$F$2:$F$500="Возвращена"))*(Брони!$D$2:$D$500&lt;=A593)*Брони!$D$2:$D$500))</f>
        <v/>
      </c>
      <c r="O593" s="19">
        <f>SUMPRODUCT((Брони!$B$2:$B$500=B593)*(Брони!$D$2:$D$500=N593)*((((Брони!$F$2:$F$500="Выдана")*NOW())+((Брони!$F$2:$F$500="Возвращена")*Брони!$E$2:$E$500))&gt;=A593)*Брони!$A$2:$A$500)</f>
        <v/>
      </c>
      <c r="P593" s="19">
        <f>SUMPRODUCT((Брони!$B$2:$B$500=B593)*(Брони!$D$2:$D$500=N593)*(((Брони!$F$2:$F$500="Выдана")+(Брони!$F$2:$F$500="Возвращена"))))</f>
        <v/>
      </c>
      <c r="Q593" s="10" t="n"/>
    </row>
    <row r="594">
      <c r="A594" s="11" t="n"/>
      <c r="B594" s="10" t="n"/>
      <c r="C594" s="10" t="n"/>
      <c r="D594" s="14" t="n"/>
      <c r="E594" s="10" t="n"/>
      <c r="F594" s="20">
        <f>IF(OR(A594="",B594=""),"",IF(OR(NOT(ISNUMBER(A594)),ISERROR(N594+O594+P594)),"Проверьте даты",IF(AND(N594&gt;0,P594&gt;1),"Дубль",IF(AND(N594&gt;0,O594&gt;0),O594,"Вне аренды"))))</f>
        <v/>
      </c>
      <c r="G594" s="12">
        <f>IF(ISNUMBER(F594),IFERROR(INDEX(Брони!$C$2:$C$500,MATCH(F594,Брони!$A$2:$A$500,0)),""),"")</f>
        <v/>
      </c>
      <c r="H594" s="10" t="n"/>
      <c r="I594" s="18" t="n"/>
      <c r="J594" s="12">
        <f>IF(AND(ISNUMBER(F594),I594&lt;&gt;""),IFERROR(IF(AND(INDEX(Брони!$F$2:$F$500,MATCH(F594,Брони!$A$2:$A$500,0))="Возвращена",I594&gt;INDEX(Брони!$E$2:$E$500,MATCH(F594,Брони!$A$2:$A$500,0))),"Да",""),""),"")</f>
        <v/>
      </c>
      <c r="K594" s="10" t="n"/>
      <c r="L594" s="14" t="n"/>
      <c r="M594" s="15">
        <f>IF(OR(A594="",B594=""),"",IF(AND(ISNUMBER(F594),H594&lt;&gt;"Компания"),D594+L594,0))</f>
        <v/>
      </c>
      <c r="N594" s="21">
        <f>SUMPRODUCT(MAX((Брони!$B$2:$B$500=B594)*((Брони!$F$2:$F$500="Выдана")+(Брони!$F$2:$F$500="Возвращена"))*(Брони!$D$2:$D$500&lt;=A594)*Брони!$D$2:$D$500))</f>
        <v/>
      </c>
      <c r="O594" s="19">
        <f>SUMPRODUCT((Брони!$B$2:$B$500=B594)*(Брони!$D$2:$D$500=N594)*((((Брони!$F$2:$F$500="Выдана")*NOW())+((Брони!$F$2:$F$500="Возвращена")*Брони!$E$2:$E$500))&gt;=A594)*Брони!$A$2:$A$500)</f>
        <v/>
      </c>
      <c r="P594" s="19">
        <f>SUMPRODUCT((Брони!$B$2:$B$500=B594)*(Брони!$D$2:$D$500=N594)*(((Брони!$F$2:$F$500="Выдана")+(Брони!$F$2:$F$500="Возвращена"))))</f>
        <v/>
      </c>
      <c r="Q594" s="10" t="n"/>
    </row>
    <row r="595">
      <c r="A595" s="11" t="n"/>
      <c r="B595" s="10" t="n"/>
      <c r="C595" s="10" t="n"/>
      <c r="D595" s="14" t="n"/>
      <c r="E595" s="10" t="n"/>
      <c r="F595" s="20">
        <f>IF(OR(A595="",B595=""),"",IF(OR(NOT(ISNUMBER(A595)),ISERROR(N595+O595+P595)),"Проверьте даты",IF(AND(N595&gt;0,P595&gt;1),"Дубль",IF(AND(N595&gt;0,O595&gt;0),O595,"Вне аренды"))))</f>
        <v/>
      </c>
      <c r="G595" s="12">
        <f>IF(ISNUMBER(F595),IFERROR(INDEX(Брони!$C$2:$C$500,MATCH(F595,Брони!$A$2:$A$500,0)),""),"")</f>
        <v/>
      </c>
      <c r="H595" s="10" t="n"/>
      <c r="I595" s="18" t="n"/>
      <c r="J595" s="12">
        <f>IF(AND(ISNUMBER(F595),I595&lt;&gt;""),IFERROR(IF(AND(INDEX(Брони!$F$2:$F$500,MATCH(F595,Брони!$A$2:$A$500,0))="Возвращена",I595&gt;INDEX(Брони!$E$2:$E$500,MATCH(F595,Брони!$A$2:$A$500,0))),"Да",""),""),"")</f>
        <v/>
      </c>
      <c r="K595" s="10" t="n"/>
      <c r="L595" s="14" t="n"/>
      <c r="M595" s="15">
        <f>IF(OR(A595="",B595=""),"",IF(AND(ISNUMBER(F595),H595&lt;&gt;"Компания"),D595+L595,0))</f>
        <v/>
      </c>
      <c r="N595" s="21">
        <f>SUMPRODUCT(MAX((Брони!$B$2:$B$500=B595)*((Брони!$F$2:$F$500="Выдана")+(Брони!$F$2:$F$500="Возвращена"))*(Брони!$D$2:$D$500&lt;=A595)*Брони!$D$2:$D$500))</f>
        <v/>
      </c>
      <c r="O595" s="19">
        <f>SUMPRODUCT((Брони!$B$2:$B$500=B595)*(Брони!$D$2:$D$500=N595)*((((Брони!$F$2:$F$500="Выдана")*NOW())+((Брони!$F$2:$F$500="Возвращена")*Брони!$E$2:$E$500))&gt;=A595)*Брони!$A$2:$A$500)</f>
        <v/>
      </c>
      <c r="P595" s="19">
        <f>SUMPRODUCT((Брони!$B$2:$B$500=B595)*(Брони!$D$2:$D$500=N595)*(((Брони!$F$2:$F$500="Выдана")+(Брони!$F$2:$F$500="Возвращена"))))</f>
        <v/>
      </c>
      <c r="Q595" s="10" t="n"/>
    </row>
    <row r="596">
      <c r="A596" s="11" t="n"/>
      <c r="B596" s="10" t="n"/>
      <c r="C596" s="10" t="n"/>
      <c r="D596" s="14" t="n"/>
      <c r="E596" s="10" t="n"/>
      <c r="F596" s="20">
        <f>IF(OR(A596="",B596=""),"",IF(OR(NOT(ISNUMBER(A596)),ISERROR(N596+O596+P596)),"Проверьте даты",IF(AND(N596&gt;0,P596&gt;1),"Дубль",IF(AND(N596&gt;0,O596&gt;0),O596,"Вне аренды"))))</f>
        <v/>
      </c>
      <c r="G596" s="12">
        <f>IF(ISNUMBER(F596),IFERROR(INDEX(Брони!$C$2:$C$500,MATCH(F596,Брони!$A$2:$A$500,0)),""),"")</f>
        <v/>
      </c>
      <c r="H596" s="10" t="n"/>
      <c r="I596" s="18" t="n"/>
      <c r="J596" s="12">
        <f>IF(AND(ISNUMBER(F596),I596&lt;&gt;""),IFERROR(IF(AND(INDEX(Брони!$F$2:$F$500,MATCH(F596,Брони!$A$2:$A$500,0))="Возвращена",I596&gt;INDEX(Брони!$E$2:$E$500,MATCH(F596,Брони!$A$2:$A$500,0))),"Да",""),""),"")</f>
        <v/>
      </c>
      <c r="K596" s="10" t="n"/>
      <c r="L596" s="14" t="n"/>
      <c r="M596" s="15">
        <f>IF(OR(A596="",B596=""),"",IF(AND(ISNUMBER(F596),H596&lt;&gt;"Компания"),D596+L596,0))</f>
        <v/>
      </c>
      <c r="N596" s="21">
        <f>SUMPRODUCT(MAX((Брони!$B$2:$B$500=B596)*((Брони!$F$2:$F$500="Выдана")+(Брони!$F$2:$F$500="Возвращена"))*(Брони!$D$2:$D$500&lt;=A596)*Брони!$D$2:$D$500))</f>
        <v/>
      </c>
      <c r="O596" s="19">
        <f>SUMPRODUCT((Брони!$B$2:$B$500=B596)*(Брони!$D$2:$D$500=N596)*((((Брони!$F$2:$F$500="Выдана")*NOW())+((Брони!$F$2:$F$500="Возвращена")*Брони!$E$2:$E$500))&gt;=A596)*Брони!$A$2:$A$500)</f>
        <v/>
      </c>
      <c r="P596" s="19">
        <f>SUMPRODUCT((Брони!$B$2:$B$500=B596)*(Брони!$D$2:$D$500=N596)*(((Брони!$F$2:$F$500="Выдана")+(Брони!$F$2:$F$500="Возвращена"))))</f>
        <v/>
      </c>
      <c r="Q596" s="10" t="n"/>
    </row>
    <row r="597">
      <c r="A597" s="11" t="n"/>
      <c r="B597" s="10" t="n"/>
      <c r="C597" s="10" t="n"/>
      <c r="D597" s="14" t="n"/>
      <c r="E597" s="10" t="n"/>
      <c r="F597" s="20">
        <f>IF(OR(A597="",B597=""),"",IF(OR(NOT(ISNUMBER(A597)),ISERROR(N597+O597+P597)),"Проверьте даты",IF(AND(N597&gt;0,P597&gt;1),"Дубль",IF(AND(N597&gt;0,O597&gt;0),O597,"Вне аренды"))))</f>
        <v/>
      </c>
      <c r="G597" s="12">
        <f>IF(ISNUMBER(F597),IFERROR(INDEX(Брони!$C$2:$C$500,MATCH(F597,Брони!$A$2:$A$500,0)),""),"")</f>
        <v/>
      </c>
      <c r="H597" s="10" t="n"/>
      <c r="I597" s="18" t="n"/>
      <c r="J597" s="12">
        <f>IF(AND(ISNUMBER(F597),I597&lt;&gt;""),IFERROR(IF(AND(INDEX(Брони!$F$2:$F$500,MATCH(F597,Брони!$A$2:$A$500,0))="Возвращена",I597&gt;INDEX(Брони!$E$2:$E$500,MATCH(F597,Брони!$A$2:$A$500,0))),"Да",""),""),"")</f>
        <v/>
      </c>
      <c r="K597" s="10" t="n"/>
      <c r="L597" s="14" t="n"/>
      <c r="M597" s="15">
        <f>IF(OR(A597="",B597=""),"",IF(AND(ISNUMBER(F597),H597&lt;&gt;"Компания"),D597+L597,0))</f>
        <v/>
      </c>
      <c r="N597" s="21">
        <f>SUMPRODUCT(MAX((Брони!$B$2:$B$500=B597)*((Брони!$F$2:$F$500="Выдана")+(Брони!$F$2:$F$500="Возвращена"))*(Брони!$D$2:$D$500&lt;=A597)*Брони!$D$2:$D$500))</f>
        <v/>
      </c>
      <c r="O597" s="19">
        <f>SUMPRODUCT((Брони!$B$2:$B$500=B597)*(Брони!$D$2:$D$500=N597)*((((Брони!$F$2:$F$500="Выдана")*NOW())+((Брони!$F$2:$F$500="Возвращена")*Брони!$E$2:$E$500))&gt;=A597)*Брони!$A$2:$A$500)</f>
        <v/>
      </c>
      <c r="P597" s="19">
        <f>SUMPRODUCT((Брони!$B$2:$B$500=B597)*(Брони!$D$2:$D$500=N597)*(((Брони!$F$2:$F$500="Выдана")+(Брони!$F$2:$F$500="Возвращена"))))</f>
        <v/>
      </c>
      <c r="Q597" s="10" t="n"/>
    </row>
    <row r="598">
      <c r="A598" s="11" t="n"/>
      <c r="B598" s="10" t="n"/>
      <c r="C598" s="10" t="n"/>
      <c r="D598" s="14" t="n"/>
      <c r="E598" s="10" t="n"/>
      <c r="F598" s="20">
        <f>IF(OR(A598="",B598=""),"",IF(OR(NOT(ISNUMBER(A598)),ISERROR(N598+O598+P598)),"Проверьте даты",IF(AND(N598&gt;0,P598&gt;1),"Дубль",IF(AND(N598&gt;0,O598&gt;0),O598,"Вне аренды"))))</f>
        <v/>
      </c>
      <c r="G598" s="12">
        <f>IF(ISNUMBER(F598),IFERROR(INDEX(Брони!$C$2:$C$500,MATCH(F598,Брони!$A$2:$A$500,0)),""),"")</f>
        <v/>
      </c>
      <c r="H598" s="10" t="n"/>
      <c r="I598" s="18" t="n"/>
      <c r="J598" s="12">
        <f>IF(AND(ISNUMBER(F598),I598&lt;&gt;""),IFERROR(IF(AND(INDEX(Брони!$F$2:$F$500,MATCH(F598,Брони!$A$2:$A$500,0))="Возвращена",I598&gt;INDEX(Брони!$E$2:$E$500,MATCH(F598,Брони!$A$2:$A$500,0))),"Да",""),""),"")</f>
        <v/>
      </c>
      <c r="K598" s="10" t="n"/>
      <c r="L598" s="14" t="n"/>
      <c r="M598" s="15">
        <f>IF(OR(A598="",B598=""),"",IF(AND(ISNUMBER(F598),H598&lt;&gt;"Компания"),D598+L598,0))</f>
        <v/>
      </c>
      <c r="N598" s="21">
        <f>SUMPRODUCT(MAX((Брони!$B$2:$B$500=B598)*((Брони!$F$2:$F$500="Выдана")+(Брони!$F$2:$F$500="Возвращена"))*(Брони!$D$2:$D$500&lt;=A598)*Брони!$D$2:$D$500))</f>
        <v/>
      </c>
      <c r="O598" s="19">
        <f>SUMPRODUCT((Брони!$B$2:$B$500=B598)*(Брони!$D$2:$D$500=N598)*((((Брони!$F$2:$F$500="Выдана")*NOW())+((Брони!$F$2:$F$500="Возвращена")*Брони!$E$2:$E$500))&gt;=A598)*Брони!$A$2:$A$500)</f>
        <v/>
      </c>
      <c r="P598" s="19">
        <f>SUMPRODUCT((Брони!$B$2:$B$500=B598)*(Брони!$D$2:$D$500=N598)*(((Брони!$F$2:$F$500="Выдана")+(Брони!$F$2:$F$500="Возвращена"))))</f>
        <v/>
      </c>
      <c r="Q598" s="10" t="n"/>
    </row>
    <row r="599">
      <c r="A599" s="11" t="n"/>
      <c r="B599" s="10" t="n"/>
      <c r="C599" s="10" t="n"/>
      <c r="D599" s="14" t="n"/>
      <c r="E599" s="10" t="n"/>
      <c r="F599" s="20">
        <f>IF(OR(A599="",B599=""),"",IF(OR(NOT(ISNUMBER(A599)),ISERROR(N599+O599+P599)),"Проверьте даты",IF(AND(N599&gt;0,P599&gt;1),"Дубль",IF(AND(N599&gt;0,O599&gt;0),O599,"Вне аренды"))))</f>
        <v/>
      </c>
      <c r="G599" s="12">
        <f>IF(ISNUMBER(F599),IFERROR(INDEX(Брони!$C$2:$C$500,MATCH(F599,Брони!$A$2:$A$500,0)),""),"")</f>
        <v/>
      </c>
      <c r="H599" s="10" t="n"/>
      <c r="I599" s="18" t="n"/>
      <c r="J599" s="12">
        <f>IF(AND(ISNUMBER(F599),I599&lt;&gt;""),IFERROR(IF(AND(INDEX(Брони!$F$2:$F$500,MATCH(F599,Брони!$A$2:$A$500,0))="Возвращена",I599&gt;INDEX(Брони!$E$2:$E$500,MATCH(F599,Брони!$A$2:$A$500,0))),"Да",""),""),"")</f>
        <v/>
      </c>
      <c r="K599" s="10" t="n"/>
      <c r="L599" s="14" t="n"/>
      <c r="M599" s="15">
        <f>IF(OR(A599="",B599=""),"",IF(AND(ISNUMBER(F599),H599&lt;&gt;"Компания"),D599+L599,0))</f>
        <v/>
      </c>
      <c r="N599" s="21">
        <f>SUMPRODUCT(MAX((Брони!$B$2:$B$500=B599)*((Брони!$F$2:$F$500="Выдана")+(Брони!$F$2:$F$500="Возвращена"))*(Брони!$D$2:$D$500&lt;=A599)*Брони!$D$2:$D$500))</f>
        <v/>
      </c>
      <c r="O599" s="19">
        <f>SUMPRODUCT((Брони!$B$2:$B$500=B599)*(Брони!$D$2:$D$500=N599)*((((Брони!$F$2:$F$500="Выдана")*NOW())+((Брони!$F$2:$F$500="Возвращена")*Брони!$E$2:$E$500))&gt;=A599)*Брони!$A$2:$A$500)</f>
        <v/>
      </c>
      <c r="P599" s="19">
        <f>SUMPRODUCT((Брони!$B$2:$B$500=B599)*(Брони!$D$2:$D$500=N599)*(((Брони!$F$2:$F$500="Выдана")+(Брони!$F$2:$F$500="Возвращена"))))</f>
        <v/>
      </c>
      <c r="Q599" s="10" t="n"/>
    </row>
    <row r="600">
      <c r="A600" s="11" t="n"/>
      <c r="B600" s="10" t="n"/>
      <c r="C600" s="10" t="n"/>
      <c r="D600" s="14" t="n"/>
      <c r="E600" s="10" t="n"/>
      <c r="F600" s="20">
        <f>IF(OR(A600="",B600=""),"",IF(OR(NOT(ISNUMBER(A600)),ISERROR(N600+O600+P600)),"Проверьте даты",IF(AND(N600&gt;0,P600&gt;1),"Дубль",IF(AND(N600&gt;0,O600&gt;0),O600,"Вне аренды"))))</f>
        <v/>
      </c>
      <c r="G600" s="12">
        <f>IF(ISNUMBER(F600),IFERROR(INDEX(Брони!$C$2:$C$500,MATCH(F600,Брони!$A$2:$A$500,0)),""),"")</f>
        <v/>
      </c>
      <c r="H600" s="10" t="n"/>
      <c r="I600" s="18" t="n"/>
      <c r="J600" s="12">
        <f>IF(AND(ISNUMBER(F600),I600&lt;&gt;""),IFERROR(IF(AND(INDEX(Брони!$F$2:$F$500,MATCH(F600,Брони!$A$2:$A$500,0))="Возвращена",I600&gt;INDEX(Брони!$E$2:$E$500,MATCH(F600,Брони!$A$2:$A$500,0))),"Да",""),""),"")</f>
        <v/>
      </c>
      <c r="K600" s="10" t="n"/>
      <c r="L600" s="14" t="n"/>
      <c r="M600" s="15">
        <f>IF(OR(A600="",B600=""),"",IF(AND(ISNUMBER(F600),H600&lt;&gt;"Компания"),D600+L600,0))</f>
        <v/>
      </c>
      <c r="N600" s="21">
        <f>SUMPRODUCT(MAX((Брони!$B$2:$B$500=B600)*((Брони!$F$2:$F$500="Выдана")+(Брони!$F$2:$F$500="Возвращена"))*(Брони!$D$2:$D$500&lt;=A600)*Брони!$D$2:$D$500))</f>
        <v/>
      </c>
      <c r="O600" s="19">
        <f>SUMPRODUCT((Брони!$B$2:$B$500=B600)*(Брони!$D$2:$D$500=N600)*((((Брони!$F$2:$F$500="Выдана")*NOW())+((Брони!$F$2:$F$500="Возвращена")*Брони!$E$2:$E$500))&gt;=A600)*Брони!$A$2:$A$500)</f>
        <v/>
      </c>
      <c r="P600" s="19">
        <f>SUMPRODUCT((Брони!$B$2:$B$500=B600)*(Брони!$D$2:$D$500=N600)*(((Брони!$F$2:$F$500="Выдана")+(Брони!$F$2:$F$500="Возвращена"))))</f>
        <v/>
      </c>
      <c r="Q600" s="10" t="n"/>
    </row>
    <row r="601">
      <c r="A601" s="11" t="n"/>
      <c r="B601" s="10" t="n"/>
      <c r="C601" s="10" t="n"/>
      <c r="D601" s="14" t="n"/>
      <c r="E601" s="10" t="n"/>
      <c r="F601" s="20">
        <f>IF(OR(A601="",B601=""),"",IF(OR(NOT(ISNUMBER(A601)),ISERROR(N601+O601+P601)),"Проверьте даты",IF(AND(N601&gt;0,P601&gt;1),"Дубль",IF(AND(N601&gt;0,O601&gt;0),O601,"Вне аренды"))))</f>
        <v/>
      </c>
      <c r="G601" s="12">
        <f>IF(ISNUMBER(F601),IFERROR(INDEX(Брони!$C$2:$C$500,MATCH(F601,Брони!$A$2:$A$500,0)),""),"")</f>
        <v/>
      </c>
      <c r="H601" s="10" t="n"/>
      <c r="I601" s="18" t="n"/>
      <c r="J601" s="12">
        <f>IF(AND(ISNUMBER(F601),I601&lt;&gt;""),IFERROR(IF(AND(INDEX(Брони!$F$2:$F$500,MATCH(F601,Брони!$A$2:$A$500,0))="Возвращена",I601&gt;INDEX(Брони!$E$2:$E$500,MATCH(F601,Брони!$A$2:$A$500,0))),"Да",""),""),"")</f>
        <v/>
      </c>
      <c r="K601" s="10" t="n"/>
      <c r="L601" s="14" t="n"/>
      <c r="M601" s="15">
        <f>IF(OR(A601="",B601=""),"",IF(AND(ISNUMBER(F601),H601&lt;&gt;"Компания"),D601+L601,0))</f>
        <v/>
      </c>
      <c r="N601" s="21">
        <f>SUMPRODUCT(MAX((Брони!$B$2:$B$500=B601)*((Брони!$F$2:$F$500="Выдана")+(Брони!$F$2:$F$500="Возвращена"))*(Брони!$D$2:$D$500&lt;=A601)*Брони!$D$2:$D$500))</f>
        <v/>
      </c>
      <c r="O601" s="19">
        <f>SUMPRODUCT((Брони!$B$2:$B$500=B601)*(Брони!$D$2:$D$500=N601)*((((Брони!$F$2:$F$500="Выдана")*NOW())+((Брони!$F$2:$F$500="Возвращена")*Брони!$E$2:$E$500))&gt;=A601)*Брони!$A$2:$A$500)</f>
        <v/>
      </c>
      <c r="P601" s="19">
        <f>SUMPRODUCT((Брони!$B$2:$B$500=B601)*(Брони!$D$2:$D$500=N601)*(((Брони!$F$2:$F$500="Выдана")+(Брони!$F$2:$F$500="Возвращена"))))</f>
        <v/>
      </c>
      <c r="Q601" s="10" t="n"/>
    </row>
    <row r="602">
      <c r="A602" s="11" t="n"/>
      <c r="B602" s="10" t="n"/>
      <c r="C602" s="10" t="n"/>
      <c r="D602" s="14" t="n"/>
      <c r="E602" s="10" t="n"/>
      <c r="F602" s="20">
        <f>IF(OR(A602="",B602=""),"",IF(OR(NOT(ISNUMBER(A602)),ISERROR(N602+O602+P602)),"Проверьте даты",IF(AND(N602&gt;0,P602&gt;1),"Дубль",IF(AND(N602&gt;0,O602&gt;0),O602,"Вне аренды"))))</f>
        <v/>
      </c>
      <c r="G602" s="12">
        <f>IF(ISNUMBER(F602),IFERROR(INDEX(Брони!$C$2:$C$500,MATCH(F602,Брони!$A$2:$A$500,0)),""),"")</f>
        <v/>
      </c>
      <c r="H602" s="10" t="n"/>
      <c r="I602" s="18" t="n"/>
      <c r="J602" s="12">
        <f>IF(AND(ISNUMBER(F602),I602&lt;&gt;""),IFERROR(IF(AND(INDEX(Брони!$F$2:$F$500,MATCH(F602,Брони!$A$2:$A$500,0))="Возвращена",I602&gt;INDEX(Брони!$E$2:$E$500,MATCH(F602,Брони!$A$2:$A$500,0))),"Да",""),""),"")</f>
        <v/>
      </c>
      <c r="K602" s="10" t="n"/>
      <c r="L602" s="14" t="n"/>
      <c r="M602" s="15">
        <f>IF(OR(A602="",B602=""),"",IF(AND(ISNUMBER(F602),H602&lt;&gt;"Компания"),D602+L602,0))</f>
        <v/>
      </c>
      <c r="N602" s="21">
        <f>SUMPRODUCT(MAX((Брони!$B$2:$B$500=B602)*((Брони!$F$2:$F$500="Выдана")+(Брони!$F$2:$F$500="Возвращена"))*(Брони!$D$2:$D$500&lt;=A602)*Брони!$D$2:$D$500))</f>
        <v/>
      </c>
      <c r="O602" s="19">
        <f>SUMPRODUCT((Брони!$B$2:$B$500=B602)*(Брони!$D$2:$D$500=N602)*((((Брони!$F$2:$F$500="Выдана")*NOW())+((Брони!$F$2:$F$500="Возвращена")*Брони!$E$2:$E$500))&gt;=A602)*Брони!$A$2:$A$500)</f>
        <v/>
      </c>
      <c r="P602" s="19">
        <f>SUMPRODUCT((Брони!$B$2:$B$500=B602)*(Брони!$D$2:$D$500=N602)*(((Брони!$F$2:$F$500="Выдана")+(Брони!$F$2:$F$500="Возвращена"))))</f>
        <v/>
      </c>
      <c r="Q602" s="10" t="n"/>
    </row>
    <row r="603">
      <c r="A603" s="11" t="n"/>
      <c r="B603" s="10" t="n"/>
      <c r="C603" s="10" t="n"/>
      <c r="D603" s="14" t="n"/>
      <c r="E603" s="10" t="n"/>
      <c r="F603" s="20">
        <f>IF(OR(A603="",B603=""),"",IF(OR(NOT(ISNUMBER(A603)),ISERROR(N603+O603+P603)),"Проверьте даты",IF(AND(N603&gt;0,P603&gt;1),"Дубль",IF(AND(N603&gt;0,O603&gt;0),O603,"Вне аренды"))))</f>
        <v/>
      </c>
      <c r="G603" s="12">
        <f>IF(ISNUMBER(F603),IFERROR(INDEX(Брони!$C$2:$C$500,MATCH(F603,Брони!$A$2:$A$500,0)),""),"")</f>
        <v/>
      </c>
      <c r="H603" s="10" t="n"/>
      <c r="I603" s="18" t="n"/>
      <c r="J603" s="12">
        <f>IF(AND(ISNUMBER(F603),I603&lt;&gt;""),IFERROR(IF(AND(INDEX(Брони!$F$2:$F$500,MATCH(F603,Брони!$A$2:$A$500,0))="Возвращена",I603&gt;INDEX(Брони!$E$2:$E$500,MATCH(F603,Брони!$A$2:$A$500,0))),"Да",""),""),"")</f>
        <v/>
      </c>
      <c r="K603" s="10" t="n"/>
      <c r="L603" s="14" t="n"/>
      <c r="M603" s="15">
        <f>IF(OR(A603="",B603=""),"",IF(AND(ISNUMBER(F603),H603&lt;&gt;"Компания"),D603+L603,0))</f>
        <v/>
      </c>
      <c r="N603" s="21">
        <f>SUMPRODUCT(MAX((Брони!$B$2:$B$500=B603)*((Брони!$F$2:$F$500="Выдана")+(Брони!$F$2:$F$500="Возвращена"))*(Брони!$D$2:$D$500&lt;=A603)*Брони!$D$2:$D$500))</f>
        <v/>
      </c>
      <c r="O603" s="19">
        <f>SUMPRODUCT((Брони!$B$2:$B$500=B603)*(Брони!$D$2:$D$500=N603)*((((Брони!$F$2:$F$500="Выдана")*NOW())+((Брони!$F$2:$F$500="Возвращена")*Брони!$E$2:$E$500))&gt;=A603)*Брони!$A$2:$A$500)</f>
        <v/>
      </c>
      <c r="P603" s="19">
        <f>SUMPRODUCT((Брони!$B$2:$B$500=B603)*(Брони!$D$2:$D$500=N603)*(((Брони!$F$2:$F$500="Выдана")+(Брони!$F$2:$F$500="Возвращена"))))</f>
        <v/>
      </c>
      <c r="Q603" s="10" t="n"/>
    </row>
    <row r="604">
      <c r="A604" s="11" t="n"/>
      <c r="B604" s="10" t="n"/>
      <c r="C604" s="10" t="n"/>
      <c r="D604" s="14" t="n"/>
      <c r="E604" s="10" t="n"/>
      <c r="F604" s="20">
        <f>IF(OR(A604="",B604=""),"",IF(OR(NOT(ISNUMBER(A604)),ISERROR(N604+O604+P604)),"Проверьте даты",IF(AND(N604&gt;0,P604&gt;1),"Дубль",IF(AND(N604&gt;0,O604&gt;0),O604,"Вне аренды"))))</f>
        <v/>
      </c>
      <c r="G604" s="12">
        <f>IF(ISNUMBER(F604),IFERROR(INDEX(Брони!$C$2:$C$500,MATCH(F604,Брони!$A$2:$A$500,0)),""),"")</f>
        <v/>
      </c>
      <c r="H604" s="10" t="n"/>
      <c r="I604" s="18" t="n"/>
      <c r="J604" s="12">
        <f>IF(AND(ISNUMBER(F604),I604&lt;&gt;""),IFERROR(IF(AND(INDEX(Брони!$F$2:$F$500,MATCH(F604,Брони!$A$2:$A$500,0))="Возвращена",I604&gt;INDEX(Брони!$E$2:$E$500,MATCH(F604,Брони!$A$2:$A$500,0))),"Да",""),""),"")</f>
        <v/>
      </c>
      <c r="K604" s="10" t="n"/>
      <c r="L604" s="14" t="n"/>
      <c r="M604" s="15">
        <f>IF(OR(A604="",B604=""),"",IF(AND(ISNUMBER(F604),H604&lt;&gt;"Компания"),D604+L604,0))</f>
        <v/>
      </c>
      <c r="N604" s="21">
        <f>SUMPRODUCT(MAX((Брони!$B$2:$B$500=B604)*((Брони!$F$2:$F$500="Выдана")+(Брони!$F$2:$F$500="Возвращена"))*(Брони!$D$2:$D$500&lt;=A604)*Брони!$D$2:$D$500))</f>
        <v/>
      </c>
      <c r="O604" s="19">
        <f>SUMPRODUCT((Брони!$B$2:$B$500=B604)*(Брони!$D$2:$D$500=N604)*((((Брони!$F$2:$F$500="Выдана")*NOW())+((Брони!$F$2:$F$500="Возвращена")*Брони!$E$2:$E$500))&gt;=A604)*Брони!$A$2:$A$500)</f>
        <v/>
      </c>
      <c r="P604" s="19">
        <f>SUMPRODUCT((Брони!$B$2:$B$500=B604)*(Брони!$D$2:$D$500=N604)*(((Брони!$F$2:$F$500="Выдана")+(Брони!$F$2:$F$500="Возвращена"))))</f>
        <v/>
      </c>
      <c r="Q604" s="10" t="n"/>
    </row>
    <row r="605">
      <c r="A605" s="11" t="n"/>
      <c r="B605" s="10" t="n"/>
      <c r="C605" s="10" t="n"/>
      <c r="D605" s="14" t="n"/>
      <c r="E605" s="10" t="n"/>
      <c r="F605" s="20">
        <f>IF(OR(A605="",B605=""),"",IF(OR(NOT(ISNUMBER(A605)),ISERROR(N605+O605+P605)),"Проверьте даты",IF(AND(N605&gt;0,P605&gt;1),"Дубль",IF(AND(N605&gt;0,O605&gt;0),O605,"Вне аренды"))))</f>
        <v/>
      </c>
      <c r="G605" s="12">
        <f>IF(ISNUMBER(F605),IFERROR(INDEX(Брони!$C$2:$C$500,MATCH(F605,Брони!$A$2:$A$500,0)),""),"")</f>
        <v/>
      </c>
      <c r="H605" s="10" t="n"/>
      <c r="I605" s="18" t="n"/>
      <c r="J605" s="12">
        <f>IF(AND(ISNUMBER(F605),I605&lt;&gt;""),IFERROR(IF(AND(INDEX(Брони!$F$2:$F$500,MATCH(F605,Брони!$A$2:$A$500,0))="Возвращена",I605&gt;INDEX(Брони!$E$2:$E$500,MATCH(F605,Брони!$A$2:$A$500,0))),"Да",""),""),"")</f>
        <v/>
      </c>
      <c r="K605" s="10" t="n"/>
      <c r="L605" s="14" t="n"/>
      <c r="M605" s="15">
        <f>IF(OR(A605="",B605=""),"",IF(AND(ISNUMBER(F605),H605&lt;&gt;"Компания"),D605+L605,0))</f>
        <v/>
      </c>
      <c r="N605" s="21">
        <f>SUMPRODUCT(MAX((Брони!$B$2:$B$500=B605)*((Брони!$F$2:$F$500="Выдана")+(Брони!$F$2:$F$500="Возвращена"))*(Брони!$D$2:$D$500&lt;=A605)*Брони!$D$2:$D$500))</f>
        <v/>
      </c>
      <c r="O605" s="19">
        <f>SUMPRODUCT((Брони!$B$2:$B$500=B605)*(Брони!$D$2:$D$500=N605)*((((Брони!$F$2:$F$500="Выдана")*NOW())+((Брони!$F$2:$F$500="Возвращена")*Брони!$E$2:$E$500))&gt;=A605)*Брони!$A$2:$A$500)</f>
        <v/>
      </c>
      <c r="P605" s="19">
        <f>SUMPRODUCT((Брони!$B$2:$B$500=B605)*(Брони!$D$2:$D$500=N605)*(((Брони!$F$2:$F$500="Выдана")+(Брони!$F$2:$F$500="Возвращена"))))</f>
        <v/>
      </c>
      <c r="Q605" s="10" t="n"/>
    </row>
    <row r="606">
      <c r="A606" s="11" t="n"/>
      <c r="B606" s="10" t="n"/>
      <c r="C606" s="10" t="n"/>
      <c r="D606" s="14" t="n"/>
      <c r="E606" s="10" t="n"/>
      <c r="F606" s="20">
        <f>IF(OR(A606="",B606=""),"",IF(OR(NOT(ISNUMBER(A606)),ISERROR(N606+O606+P606)),"Проверьте даты",IF(AND(N606&gt;0,P606&gt;1),"Дубль",IF(AND(N606&gt;0,O606&gt;0),O606,"Вне аренды"))))</f>
        <v/>
      </c>
      <c r="G606" s="12">
        <f>IF(ISNUMBER(F606),IFERROR(INDEX(Брони!$C$2:$C$500,MATCH(F606,Брони!$A$2:$A$500,0)),""),"")</f>
        <v/>
      </c>
      <c r="H606" s="10" t="n"/>
      <c r="I606" s="18" t="n"/>
      <c r="J606" s="12">
        <f>IF(AND(ISNUMBER(F606),I606&lt;&gt;""),IFERROR(IF(AND(INDEX(Брони!$F$2:$F$500,MATCH(F606,Брони!$A$2:$A$500,0))="Возвращена",I606&gt;INDEX(Брони!$E$2:$E$500,MATCH(F606,Брони!$A$2:$A$500,0))),"Да",""),""),"")</f>
        <v/>
      </c>
      <c r="K606" s="10" t="n"/>
      <c r="L606" s="14" t="n"/>
      <c r="M606" s="15">
        <f>IF(OR(A606="",B606=""),"",IF(AND(ISNUMBER(F606),H606&lt;&gt;"Компания"),D606+L606,0))</f>
        <v/>
      </c>
      <c r="N606" s="21">
        <f>SUMPRODUCT(MAX((Брони!$B$2:$B$500=B606)*((Брони!$F$2:$F$500="Выдана")+(Брони!$F$2:$F$500="Возвращена"))*(Брони!$D$2:$D$500&lt;=A606)*Брони!$D$2:$D$500))</f>
        <v/>
      </c>
      <c r="O606" s="19">
        <f>SUMPRODUCT((Брони!$B$2:$B$500=B606)*(Брони!$D$2:$D$500=N606)*((((Брони!$F$2:$F$500="Выдана")*NOW())+((Брони!$F$2:$F$500="Возвращена")*Брони!$E$2:$E$500))&gt;=A606)*Брони!$A$2:$A$500)</f>
        <v/>
      </c>
      <c r="P606" s="19">
        <f>SUMPRODUCT((Брони!$B$2:$B$500=B606)*(Брони!$D$2:$D$500=N606)*(((Брони!$F$2:$F$500="Выдана")+(Брони!$F$2:$F$500="Возвращена"))))</f>
        <v/>
      </c>
      <c r="Q606" s="10" t="n"/>
    </row>
    <row r="607">
      <c r="A607" s="11" t="n"/>
      <c r="B607" s="10" t="n"/>
      <c r="C607" s="10" t="n"/>
      <c r="D607" s="14" t="n"/>
      <c r="E607" s="10" t="n"/>
      <c r="F607" s="20">
        <f>IF(OR(A607="",B607=""),"",IF(OR(NOT(ISNUMBER(A607)),ISERROR(N607+O607+P607)),"Проверьте даты",IF(AND(N607&gt;0,P607&gt;1),"Дубль",IF(AND(N607&gt;0,O607&gt;0),O607,"Вне аренды"))))</f>
        <v/>
      </c>
      <c r="G607" s="12">
        <f>IF(ISNUMBER(F607),IFERROR(INDEX(Брони!$C$2:$C$500,MATCH(F607,Брони!$A$2:$A$500,0)),""),"")</f>
        <v/>
      </c>
      <c r="H607" s="10" t="n"/>
      <c r="I607" s="18" t="n"/>
      <c r="J607" s="12">
        <f>IF(AND(ISNUMBER(F607),I607&lt;&gt;""),IFERROR(IF(AND(INDEX(Брони!$F$2:$F$500,MATCH(F607,Брони!$A$2:$A$500,0))="Возвращена",I607&gt;INDEX(Брони!$E$2:$E$500,MATCH(F607,Брони!$A$2:$A$500,0))),"Да",""),""),"")</f>
        <v/>
      </c>
      <c r="K607" s="10" t="n"/>
      <c r="L607" s="14" t="n"/>
      <c r="M607" s="15">
        <f>IF(OR(A607="",B607=""),"",IF(AND(ISNUMBER(F607),H607&lt;&gt;"Компания"),D607+L607,0))</f>
        <v/>
      </c>
      <c r="N607" s="21">
        <f>SUMPRODUCT(MAX((Брони!$B$2:$B$500=B607)*((Брони!$F$2:$F$500="Выдана")+(Брони!$F$2:$F$500="Возвращена"))*(Брони!$D$2:$D$500&lt;=A607)*Брони!$D$2:$D$500))</f>
        <v/>
      </c>
      <c r="O607" s="19">
        <f>SUMPRODUCT((Брони!$B$2:$B$500=B607)*(Брони!$D$2:$D$500=N607)*((((Брони!$F$2:$F$500="Выдана")*NOW())+((Брони!$F$2:$F$500="Возвращена")*Брони!$E$2:$E$500))&gt;=A607)*Брони!$A$2:$A$500)</f>
        <v/>
      </c>
      <c r="P607" s="19">
        <f>SUMPRODUCT((Брони!$B$2:$B$500=B607)*(Брони!$D$2:$D$500=N607)*(((Брони!$F$2:$F$500="Выдана")+(Брони!$F$2:$F$500="Возвращена"))))</f>
        <v/>
      </c>
      <c r="Q607" s="10" t="n"/>
    </row>
    <row r="608">
      <c r="A608" s="11" t="n"/>
      <c r="B608" s="10" t="n"/>
      <c r="C608" s="10" t="n"/>
      <c r="D608" s="14" t="n"/>
      <c r="E608" s="10" t="n"/>
      <c r="F608" s="20">
        <f>IF(OR(A608="",B608=""),"",IF(OR(NOT(ISNUMBER(A608)),ISERROR(N608+O608+P608)),"Проверьте даты",IF(AND(N608&gt;0,P608&gt;1),"Дубль",IF(AND(N608&gt;0,O608&gt;0),O608,"Вне аренды"))))</f>
        <v/>
      </c>
      <c r="G608" s="12">
        <f>IF(ISNUMBER(F608),IFERROR(INDEX(Брони!$C$2:$C$500,MATCH(F608,Брони!$A$2:$A$500,0)),""),"")</f>
        <v/>
      </c>
      <c r="H608" s="10" t="n"/>
      <c r="I608" s="18" t="n"/>
      <c r="J608" s="12">
        <f>IF(AND(ISNUMBER(F608),I608&lt;&gt;""),IFERROR(IF(AND(INDEX(Брони!$F$2:$F$500,MATCH(F608,Брони!$A$2:$A$500,0))="Возвращена",I608&gt;INDEX(Брони!$E$2:$E$500,MATCH(F608,Брони!$A$2:$A$500,0))),"Да",""),""),"")</f>
        <v/>
      </c>
      <c r="K608" s="10" t="n"/>
      <c r="L608" s="14" t="n"/>
      <c r="M608" s="15">
        <f>IF(OR(A608="",B608=""),"",IF(AND(ISNUMBER(F608),H608&lt;&gt;"Компания"),D608+L608,0))</f>
        <v/>
      </c>
      <c r="N608" s="21">
        <f>SUMPRODUCT(MAX((Брони!$B$2:$B$500=B608)*((Брони!$F$2:$F$500="Выдана")+(Брони!$F$2:$F$500="Возвращена"))*(Брони!$D$2:$D$500&lt;=A608)*Брони!$D$2:$D$500))</f>
        <v/>
      </c>
      <c r="O608" s="19">
        <f>SUMPRODUCT((Брони!$B$2:$B$500=B608)*(Брони!$D$2:$D$500=N608)*((((Брони!$F$2:$F$500="Выдана")*NOW())+((Брони!$F$2:$F$500="Возвращена")*Брони!$E$2:$E$500))&gt;=A608)*Брони!$A$2:$A$500)</f>
        <v/>
      </c>
      <c r="P608" s="19">
        <f>SUMPRODUCT((Брони!$B$2:$B$500=B608)*(Брони!$D$2:$D$500=N608)*(((Брони!$F$2:$F$500="Выдана")+(Брони!$F$2:$F$500="Возвращена"))))</f>
        <v/>
      </c>
      <c r="Q608" s="10" t="n"/>
    </row>
    <row r="609">
      <c r="A609" s="11" t="n"/>
      <c r="B609" s="10" t="n"/>
      <c r="C609" s="10" t="n"/>
      <c r="D609" s="14" t="n"/>
      <c r="E609" s="10" t="n"/>
      <c r="F609" s="20">
        <f>IF(OR(A609="",B609=""),"",IF(OR(NOT(ISNUMBER(A609)),ISERROR(N609+O609+P609)),"Проверьте даты",IF(AND(N609&gt;0,P609&gt;1),"Дубль",IF(AND(N609&gt;0,O609&gt;0),O609,"Вне аренды"))))</f>
        <v/>
      </c>
      <c r="G609" s="12">
        <f>IF(ISNUMBER(F609),IFERROR(INDEX(Брони!$C$2:$C$500,MATCH(F609,Брони!$A$2:$A$500,0)),""),"")</f>
        <v/>
      </c>
      <c r="H609" s="10" t="n"/>
      <c r="I609" s="18" t="n"/>
      <c r="J609" s="12">
        <f>IF(AND(ISNUMBER(F609),I609&lt;&gt;""),IFERROR(IF(AND(INDEX(Брони!$F$2:$F$500,MATCH(F609,Брони!$A$2:$A$500,0))="Возвращена",I609&gt;INDEX(Брони!$E$2:$E$500,MATCH(F609,Брони!$A$2:$A$500,0))),"Да",""),""),"")</f>
        <v/>
      </c>
      <c r="K609" s="10" t="n"/>
      <c r="L609" s="14" t="n"/>
      <c r="M609" s="15">
        <f>IF(OR(A609="",B609=""),"",IF(AND(ISNUMBER(F609),H609&lt;&gt;"Компания"),D609+L609,0))</f>
        <v/>
      </c>
      <c r="N609" s="21">
        <f>SUMPRODUCT(MAX((Брони!$B$2:$B$500=B609)*((Брони!$F$2:$F$500="Выдана")+(Брони!$F$2:$F$500="Возвращена"))*(Брони!$D$2:$D$500&lt;=A609)*Брони!$D$2:$D$500))</f>
        <v/>
      </c>
      <c r="O609" s="19">
        <f>SUMPRODUCT((Брони!$B$2:$B$500=B609)*(Брони!$D$2:$D$500=N609)*((((Брони!$F$2:$F$500="Выдана")*NOW())+((Брони!$F$2:$F$500="Возвращена")*Брони!$E$2:$E$500))&gt;=A609)*Брони!$A$2:$A$500)</f>
        <v/>
      </c>
      <c r="P609" s="19">
        <f>SUMPRODUCT((Брони!$B$2:$B$500=B609)*(Брони!$D$2:$D$500=N609)*(((Брони!$F$2:$F$500="Выдана")+(Брони!$F$2:$F$500="Возвращена"))))</f>
        <v/>
      </c>
      <c r="Q609" s="10" t="n"/>
    </row>
    <row r="610">
      <c r="A610" s="11" t="n"/>
      <c r="B610" s="10" t="n"/>
      <c r="C610" s="10" t="n"/>
      <c r="D610" s="14" t="n"/>
      <c r="E610" s="10" t="n"/>
      <c r="F610" s="20">
        <f>IF(OR(A610="",B610=""),"",IF(OR(NOT(ISNUMBER(A610)),ISERROR(N610+O610+P610)),"Проверьте даты",IF(AND(N610&gt;0,P610&gt;1),"Дубль",IF(AND(N610&gt;0,O610&gt;0),O610,"Вне аренды"))))</f>
        <v/>
      </c>
      <c r="G610" s="12">
        <f>IF(ISNUMBER(F610),IFERROR(INDEX(Брони!$C$2:$C$500,MATCH(F610,Брони!$A$2:$A$500,0)),""),"")</f>
        <v/>
      </c>
      <c r="H610" s="10" t="n"/>
      <c r="I610" s="18" t="n"/>
      <c r="J610" s="12">
        <f>IF(AND(ISNUMBER(F610),I610&lt;&gt;""),IFERROR(IF(AND(INDEX(Брони!$F$2:$F$500,MATCH(F610,Брони!$A$2:$A$500,0))="Возвращена",I610&gt;INDEX(Брони!$E$2:$E$500,MATCH(F610,Брони!$A$2:$A$500,0))),"Да",""),""),"")</f>
        <v/>
      </c>
      <c r="K610" s="10" t="n"/>
      <c r="L610" s="14" t="n"/>
      <c r="M610" s="15">
        <f>IF(OR(A610="",B610=""),"",IF(AND(ISNUMBER(F610),H610&lt;&gt;"Компания"),D610+L610,0))</f>
        <v/>
      </c>
      <c r="N610" s="21">
        <f>SUMPRODUCT(MAX((Брони!$B$2:$B$500=B610)*((Брони!$F$2:$F$500="Выдана")+(Брони!$F$2:$F$500="Возвращена"))*(Брони!$D$2:$D$500&lt;=A610)*Брони!$D$2:$D$500))</f>
        <v/>
      </c>
      <c r="O610" s="19">
        <f>SUMPRODUCT((Брони!$B$2:$B$500=B610)*(Брони!$D$2:$D$500=N610)*((((Брони!$F$2:$F$500="Выдана")*NOW())+((Брони!$F$2:$F$500="Возвращена")*Брони!$E$2:$E$500))&gt;=A610)*Брони!$A$2:$A$500)</f>
        <v/>
      </c>
      <c r="P610" s="19">
        <f>SUMPRODUCT((Брони!$B$2:$B$500=B610)*(Брони!$D$2:$D$500=N610)*(((Брони!$F$2:$F$500="Выдана")+(Брони!$F$2:$F$500="Возвращена"))))</f>
        <v/>
      </c>
      <c r="Q610" s="10" t="n"/>
    </row>
    <row r="611">
      <c r="A611" s="11" t="n"/>
      <c r="B611" s="10" t="n"/>
      <c r="C611" s="10" t="n"/>
      <c r="D611" s="14" t="n"/>
      <c r="E611" s="10" t="n"/>
      <c r="F611" s="20">
        <f>IF(OR(A611="",B611=""),"",IF(OR(NOT(ISNUMBER(A611)),ISERROR(N611+O611+P611)),"Проверьте даты",IF(AND(N611&gt;0,P611&gt;1),"Дубль",IF(AND(N611&gt;0,O611&gt;0),O611,"Вне аренды"))))</f>
        <v/>
      </c>
      <c r="G611" s="12">
        <f>IF(ISNUMBER(F611),IFERROR(INDEX(Брони!$C$2:$C$500,MATCH(F611,Брони!$A$2:$A$500,0)),""),"")</f>
        <v/>
      </c>
      <c r="H611" s="10" t="n"/>
      <c r="I611" s="18" t="n"/>
      <c r="J611" s="12">
        <f>IF(AND(ISNUMBER(F611),I611&lt;&gt;""),IFERROR(IF(AND(INDEX(Брони!$F$2:$F$500,MATCH(F611,Брони!$A$2:$A$500,0))="Возвращена",I611&gt;INDEX(Брони!$E$2:$E$500,MATCH(F611,Брони!$A$2:$A$500,0))),"Да",""),""),"")</f>
        <v/>
      </c>
      <c r="K611" s="10" t="n"/>
      <c r="L611" s="14" t="n"/>
      <c r="M611" s="15">
        <f>IF(OR(A611="",B611=""),"",IF(AND(ISNUMBER(F611),H611&lt;&gt;"Компания"),D611+L611,0))</f>
        <v/>
      </c>
      <c r="N611" s="21">
        <f>SUMPRODUCT(MAX((Брони!$B$2:$B$500=B611)*((Брони!$F$2:$F$500="Выдана")+(Брони!$F$2:$F$500="Возвращена"))*(Брони!$D$2:$D$500&lt;=A611)*Брони!$D$2:$D$500))</f>
        <v/>
      </c>
      <c r="O611" s="19">
        <f>SUMPRODUCT((Брони!$B$2:$B$500=B611)*(Брони!$D$2:$D$500=N611)*((((Брони!$F$2:$F$500="Выдана")*NOW())+((Брони!$F$2:$F$500="Возвращена")*Брони!$E$2:$E$500))&gt;=A611)*Брони!$A$2:$A$500)</f>
        <v/>
      </c>
      <c r="P611" s="19">
        <f>SUMPRODUCT((Брони!$B$2:$B$500=B611)*(Брони!$D$2:$D$500=N611)*(((Брони!$F$2:$F$500="Выдана")+(Брони!$F$2:$F$500="Возвращена"))))</f>
        <v/>
      </c>
      <c r="Q611" s="10" t="n"/>
    </row>
    <row r="612">
      <c r="A612" s="11" t="n"/>
      <c r="B612" s="10" t="n"/>
      <c r="C612" s="10" t="n"/>
      <c r="D612" s="14" t="n"/>
      <c r="E612" s="10" t="n"/>
      <c r="F612" s="20">
        <f>IF(OR(A612="",B612=""),"",IF(OR(NOT(ISNUMBER(A612)),ISERROR(N612+O612+P612)),"Проверьте даты",IF(AND(N612&gt;0,P612&gt;1),"Дубль",IF(AND(N612&gt;0,O612&gt;0),O612,"Вне аренды"))))</f>
        <v/>
      </c>
      <c r="G612" s="12">
        <f>IF(ISNUMBER(F612),IFERROR(INDEX(Брони!$C$2:$C$500,MATCH(F612,Брони!$A$2:$A$500,0)),""),"")</f>
        <v/>
      </c>
      <c r="H612" s="10" t="n"/>
      <c r="I612" s="18" t="n"/>
      <c r="J612" s="12">
        <f>IF(AND(ISNUMBER(F612),I612&lt;&gt;""),IFERROR(IF(AND(INDEX(Брони!$F$2:$F$500,MATCH(F612,Брони!$A$2:$A$500,0))="Возвращена",I612&gt;INDEX(Брони!$E$2:$E$500,MATCH(F612,Брони!$A$2:$A$500,0))),"Да",""),""),"")</f>
        <v/>
      </c>
      <c r="K612" s="10" t="n"/>
      <c r="L612" s="14" t="n"/>
      <c r="M612" s="15">
        <f>IF(OR(A612="",B612=""),"",IF(AND(ISNUMBER(F612),H612&lt;&gt;"Компания"),D612+L612,0))</f>
        <v/>
      </c>
      <c r="N612" s="21">
        <f>SUMPRODUCT(MAX((Брони!$B$2:$B$500=B612)*((Брони!$F$2:$F$500="Выдана")+(Брони!$F$2:$F$500="Возвращена"))*(Брони!$D$2:$D$500&lt;=A612)*Брони!$D$2:$D$500))</f>
        <v/>
      </c>
      <c r="O612" s="19">
        <f>SUMPRODUCT((Брони!$B$2:$B$500=B612)*(Брони!$D$2:$D$500=N612)*((((Брони!$F$2:$F$500="Выдана")*NOW())+((Брони!$F$2:$F$500="Возвращена")*Брони!$E$2:$E$500))&gt;=A612)*Брони!$A$2:$A$500)</f>
        <v/>
      </c>
      <c r="P612" s="19">
        <f>SUMPRODUCT((Брони!$B$2:$B$500=B612)*(Брони!$D$2:$D$500=N612)*(((Брони!$F$2:$F$500="Выдана")+(Брони!$F$2:$F$500="Возвращена"))))</f>
        <v/>
      </c>
      <c r="Q612" s="10" t="n"/>
    </row>
    <row r="613">
      <c r="A613" s="11" t="n"/>
      <c r="B613" s="10" t="n"/>
      <c r="C613" s="10" t="n"/>
      <c r="D613" s="14" t="n"/>
      <c r="E613" s="10" t="n"/>
      <c r="F613" s="20">
        <f>IF(OR(A613="",B613=""),"",IF(OR(NOT(ISNUMBER(A613)),ISERROR(N613+O613+P613)),"Проверьте даты",IF(AND(N613&gt;0,P613&gt;1),"Дубль",IF(AND(N613&gt;0,O613&gt;0),O613,"Вне аренды"))))</f>
        <v/>
      </c>
      <c r="G613" s="12">
        <f>IF(ISNUMBER(F613),IFERROR(INDEX(Брони!$C$2:$C$500,MATCH(F613,Брони!$A$2:$A$500,0)),""),"")</f>
        <v/>
      </c>
      <c r="H613" s="10" t="n"/>
      <c r="I613" s="18" t="n"/>
      <c r="J613" s="12">
        <f>IF(AND(ISNUMBER(F613),I613&lt;&gt;""),IFERROR(IF(AND(INDEX(Брони!$F$2:$F$500,MATCH(F613,Брони!$A$2:$A$500,0))="Возвращена",I613&gt;INDEX(Брони!$E$2:$E$500,MATCH(F613,Брони!$A$2:$A$500,0))),"Да",""),""),"")</f>
        <v/>
      </c>
      <c r="K613" s="10" t="n"/>
      <c r="L613" s="14" t="n"/>
      <c r="M613" s="15">
        <f>IF(OR(A613="",B613=""),"",IF(AND(ISNUMBER(F613),H613&lt;&gt;"Компания"),D613+L613,0))</f>
        <v/>
      </c>
      <c r="N613" s="21">
        <f>SUMPRODUCT(MAX((Брони!$B$2:$B$500=B613)*((Брони!$F$2:$F$500="Выдана")+(Брони!$F$2:$F$500="Возвращена"))*(Брони!$D$2:$D$500&lt;=A613)*Брони!$D$2:$D$500))</f>
        <v/>
      </c>
      <c r="O613" s="19">
        <f>SUMPRODUCT((Брони!$B$2:$B$500=B613)*(Брони!$D$2:$D$500=N613)*((((Брони!$F$2:$F$500="Выдана")*NOW())+((Брони!$F$2:$F$500="Возвращена")*Брони!$E$2:$E$500))&gt;=A613)*Брони!$A$2:$A$500)</f>
        <v/>
      </c>
      <c r="P613" s="19">
        <f>SUMPRODUCT((Брони!$B$2:$B$500=B613)*(Брони!$D$2:$D$500=N613)*(((Брони!$F$2:$F$500="Выдана")+(Брони!$F$2:$F$500="Возвращена"))))</f>
        <v/>
      </c>
      <c r="Q613" s="10" t="n"/>
    </row>
    <row r="614">
      <c r="A614" s="11" t="n"/>
      <c r="B614" s="10" t="n"/>
      <c r="C614" s="10" t="n"/>
      <c r="D614" s="14" t="n"/>
      <c r="E614" s="10" t="n"/>
      <c r="F614" s="20">
        <f>IF(OR(A614="",B614=""),"",IF(OR(NOT(ISNUMBER(A614)),ISERROR(N614+O614+P614)),"Проверьте даты",IF(AND(N614&gt;0,P614&gt;1),"Дубль",IF(AND(N614&gt;0,O614&gt;0),O614,"Вне аренды"))))</f>
        <v/>
      </c>
      <c r="G614" s="12">
        <f>IF(ISNUMBER(F614),IFERROR(INDEX(Брони!$C$2:$C$500,MATCH(F614,Брони!$A$2:$A$500,0)),""),"")</f>
        <v/>
      </c>
      <c r="H614" s="10" t="n"/>
      <c r="I614" s="18" t="n"/>
      <c r="J614" s="12">
        <f>IF(AND(ISNUMBER(F614),I614&lt;&gt;""),IFERROR(IF(AND(INDEX(Брони!$F$2:$F$500,MATCH(F614,Брони!$A$2:$A$500,0))="Возвращена",I614&gt;INDEX(Брони!$E$2:$E$500,MATCH(F614,Брони!$A$2:$A$500,0))),"Да",""),""),"")</f>
        <v/>
      </c>
      <c r="K614" s="10" t="n"/>
      <c r="L614" s="14" t="n"/>
      <c r="M614" s="15">
        <f>IF(OR(A614="",B614=""),"",IF(AND(ISNUMBER(F614),H614&lt;&gt;"Компания"),D614+L614,0))</f>
        <v/>
      </c>
      <c r="N614" s="21">
        <f>SUMPRODUCT(MAX((Брони!$B$2:$B$500=B614)*((Брони!$F$2:$F$500="Выдана")+(Брони!$F$2:$F$500="Возвращена"))*(Брони!$D$2:$D$500&lt;=A614)*Брони!$D$2:$D$500))</f>
        <v/>
      </c>
      <c r="O614" s="19">
        <f>SUMPRODUCT((Брони!$B$2:$B$500=B614)*(Брони!$D$2:$D$500=N614)*((((Брони!$F$2:$F$500="Выдана")*NOW())+((Брони!$F$2:$F$500="Возвращена")*Брони!$E$2:$E$500))&gt;=A614)*Брони!$A$2:$A$500)</f>
        <v/>
      </c>
      <c r="P614" s="19">
        <f>SUMPRODUCT((Брони!$B$2:$B$500=B614)*(Брони!$D$2:$D$500=N614)*(((Брони!$F$2:$F$500="Выдана")+(Брони!$F$2:$F$500="Возвращена"))))</f>
        <v/>
      </c>
      <c r="Q614" s="10" t="n"/>
    </row>
    <row r="615">
      <c r="A615" s="11" t="n"/>
      <c r="B615" s="10" t="n"/>
      <c r="C615" s="10" t="n"/>
      <c r="D615" s="14" t="n"/>
      <c r="E615" s="10" t="n"/>
      <c r="F615" s="20">
        <f>IF(OR(A615="",B615=""),"",IF(OR(NOT(ISNUMBER(A615)),ISERROR(N615+O615+P615)),"Проверьте даты",IF(AND(N615&gt;0,P615&gt;1),"Дубль",IF(AND(N615&gt;0,O615&gt;0),O615,"Вне аренды"))))</f>
        <v/>
      </c>
      <c r="G615" s="12">
        <f>IF(ISNUMBER(F615),IFERROR(INDEX(Брони!$C$2:$C$500,MATCH(F615,Брони!$A$2:$A$500,0)),""),"")</f>
        <v/>
      </c>
      <c r="H615" s="10" t="n"/>
      <c r="I615" s="18" t="n"/>
      <c r="J615" s="12">
        <f>IF(AND(ISNUMBER(F615),I615&lt;&gt;""),IFERROR(IF(AND(INDEX(Брони!$F$2:$F$500,MATCH(F615,Брони!$A$2:$A$500,0))="Возвращена",I615&gt;INDEX(Брони!$E$2:$E$500,MATCH(F615,Брони!$A$2:$A$500,0))),"Да",""),""),"")</f>
        <v/>
      </c>
      <c r="K615" s="10" t="n"/>
      <c r="L615" s="14" t="n"/>
      <c r="M615" s="15">
        <f>IF(OR(A615="",B615=""),"",IF(AND(ISNUMBER(F615),H615&lt;&gt;"Компания"),D615+L615,0))</f>
        <v/>
      </c>
      <c r="N615" s="21">
        <f>SUMPRODUCT(MAX((Брони!$B$2:$B$500=B615)*((Брони!$F$2:$F$500="Выдана")+(Брони!$F$2:$F$500="Возвращена"))*(Брони!$D$2:$D$500&lt;=A615)*Брони!$D$2:$D$500))</f>
        <v/>
      </c>
      <c r="O615" s="19">
        <f>SUMPRODUCT((Брони!$B$2:$B$500=B615)*(Брони!$D$2:$D$500=N615)*((((Брони!$F$2:$F$500="Выдана")*NOW())+((Брони!$F$2:$F$500="Возвращена")*Брони!$E$2:$E$500))&gt;=A615)*Брони!$A$2:$A$500)</f>
        <v/>
      </c>
      <c r="P615" s="19">
        <f>SUMPRODUCT((Брони!$B$2:$B$500=B615)*(Брони!$D$2:$D$500=N615)*(((Брони!$F$2:$F$500="Выдана")+(Брони!$F$2:$F$500="Возвращена"))))</f>
        <v/>
      </c>
      <c r="Q615" s="10" t="n"/>
    </row>
    <row r="616">
      <c r="A616" s="11" t="n"/>
      <c r="B616" s="10" t="n"/>
      <c r="C616" s="10" t="n"/>
      <c r="D616" s="14" t="n"/>
      <c r="E616" s="10" t="n"/>
      <c r="F616" s="20">
        <f>IF(OR(A616="",B616=""),"",IF(OR(NOT(ISNUMBER(A616)),ISERROR(N616+O616+P616)),"Проверьте даты",IF(AND(N616&gt;0,P616&gt;1),"Дубль",IF(AND(N616&gt;0,O616&gt;0),O616,"Вне аренды"))))</f>
        <v/>
      </c>
      <c r="G616" s="12">
        <f>IF(ISNUMBER(F616),IFERROR(INDEX(Брони!$C$2:$C$500,MATCH(F616,Брони!$A$2:$A$500,0)),""),"")</f>
        <v/>
      </c>
      <c r="H616" s="10" t="n"/>
      <c r="I616" s="18" t="n"/>
      <c r="J616" s="12">
        <f>IF(AND(ISNUMBER(F616),I616&lt;&gt;""),IFERROR(IF(AND(INDEX(Брони!$F$2:$F$500,MATCH(F616,Брони!$A$2:$A$500,0))="Возвращена",I616&gt;INDEX(Брони!$E$2:$E$500,MATCH(F616,Брони!$A$2:$A$500,0))),"Да",""),""),"")</f>
        <v/>
      </c>
      <c r="K616" s="10" t="n"/>
      <c r="L616" s="14" t="n"/>
      <c r="M616" s="15">
        <f>IF(OR(A616="",B616=""),"",IF(AND(ISNUMBER(F616),H616&lt;&gt;"Компания"),D616+L616,0))</f>
        <v/>
      </c>
      <c r="N616" s="21">
        <f>SUMPRODUCT(MAX((Брони!$B$2:$B$500=B616)*((Брони!$F$2:$F$500="Выдана")+(Брони!$F$2:$F$500="Возвращена"))*(Брони!$D$2:$D$500&lt;=A616)*Брони!$D$2:$D$500))</f>
        <v/>
      </c>
      <c r="O616" s="19">
        <f>SUMPRODUCT((Брони!$B$2:$B$500=B616)*(Брони!$D$2:$D$500=N616)*((((Брони!$F$2:$F$500="Выдана")*NOW())+((Брони!$F$2:$F$500="Возвращена")*Брони!$E$2:$E$500))&gt;=A616)*Брони!$A$2:$A$500)</f>
        <v/>
      </c>
      <c r="P616" s="19">
        <f>SUMPRODUCT((Брони!$B$2:$B$500=B616)*(Брони!$D$2:$D$500=N616)*(((Брони!$F$2:$F$500="Выдана")+(Брони!$F$2:$F$500="Возвращена"))))</f>
        <v/>
      </c>
      <c r="Q616" s="10" t="n"/>
    </row>
    <row r="617">
      <c r="A617" s="11" t="n"/>
      <c r="B617" s="10" t="n"/>
      <c r="C617" s="10" t="n"/>
      <c r="D617" s="14" t="n"/>
      <c r="E617" s="10" t="n"/>
      <c r="F617" s="20">
        <f>IF(OR(A617="",B617=""),"",IF(OR(NOT(ISNUMBER(A617)),ISERROR(N617+O617+P617)),"Проверьте даты",IF(AND(N617&gt;0,P617&gt;1),"Дубль",IF(AND(N617&gt;0,O617&gt;0),O617,"Вне аренды"))))</f>
        <v/>
      </c>
      <c r="G617" s="12">
        <f>IF(ISNUMBER(F617),IFERROR(INDEX(Брони!$C$2:$C$500,MATCH(F617,Брони!$A$2:$A$500,0)),""),"")</f>
        <v/>
      </c>
      <c r="H617" s="10" t="n"/>
      <c r="I617" s="18" t="n"/>
      <c r="J617" s="12">
        <f>IF(AND(ISNUMBER(F617),I617&lt;&gt;""),IFERROR(IF(AND(INDEX(Брони!$F$2:$F$500,MATCH(F617,Брони!$A$2:$A$500,0))="Возвращена",I617&gt;INDEX(Брони!$E$2:$E$500,MATCH(F617,Брони!$A$2:$A$500,0))),"Да",""),""),"")</f>
        <v/>
      </c>
      <c r="K617" s="10" t="n"/>
      <c r="L617" s="14" t="n"/>
      <c r="M617" s="15">
        <f>IF(OR(A617="",B617=""),"",IF(AND(ISNUMBER(F617),H617&lt;&gt;"Компания"),D617+L617,0))</f>
        <v/>
      </c>
      <c r="N617" s="21">
        <f>SUMPRODUCT(MAX((Брони!$B$2:$B$500=B617)*((Брони!$F$2:$F$500="Выдана")+(Брони!$F$2:$F$500="Возвращена"))*(Брони!$D$2:$D$500&lt;=A617)*Брони!$D$2:$D$500))</f>
        <v/>
      </c>
      <c r="O617" s="19">
        <f>SUMPRODUCT((Брони!$B$2:$B$500=B617)*(Брони!$D$2:$D$500=N617)*((((Брони!$F$2:$F$500="Выдана")*NOW())+((Брони!$F$2:$F$500="Возвращена")*Брони!$E$2:$E$500))&gt;=A617)*Брони!$A$2:$A$500)</f>
        <v/>
      </c>
      <c r="P617" s="19">
        <f>SUMPRODUCT((Брони!$B$2:$B$500=B617)*(Брони!$D$2:$D$500=N617)*(((Брони!$F$2:$F$500="Выдана")+(Брони!$F$2:$F$500="Возвращена"))))</f>
        <v/>
      </c>
      <c r="Q617" s="10" t="n"/>
    </row>
    <row r="618">
      <c r="A618" s="11" t="n"/>
      <c r="B618" s="10" t="n"/>
      <c r="C618" s="10" t="n"/>
      <c r="D618" s="14" t="n"/>
      <c r="E618" s="10" t="n"/>
      <c r="F618" s="20">
        <f>IF(OR(A618="",B618=""),"",IF(OR(NOT(ISNUMBER(A618)),ISERROR(N618+O618+P618)),"Проверьте даты",IF(AND(N618&gt;0,P618&gt;1),"Дубль",IF(AND(N618&gt;0,O618&gt;0),O618,"Вне аренды"))))</f>
        <v/>
      </c>
      <c r="G618" s="12">
        <f>IF(ISNUMBER(F618),IFERROR(INDEX(Брони!$C$2:$C$500,MATCH(F618,Брони!$A$2:$A$500,0)),""),"")</f>
        <v/>
      </c>
      <c r="H618" s="10" t="n"/>
      <c r="I618" s="18" t="n"/>
      <c r="J618" s="12">
        <f>IF(AND(ISNUMBER(F618),I618&lt;&gt;""),IFERROR(IF(AND(INDEX(Брони!$F$2:$F$500,MATCH(F618,Брони!$A$2:$A$500,0))="Возвращена",I618&gt;INDEX(Брони!$E$2:$E$500,MATCH(F618,Брони!$A$2:$A$500,0))),"Да",""),""),"")</f>
        <v/>
      </c>
      <c r="K618" s="10" t="n"/>
      <c r="L618" s="14" t="n"/>
      <c r="M618" s="15">
        <f>IF(OR(A618="",B618=""),"",IF(AND(ISNUMBER(F618),H618&lt;&gt;"Компания"),D618+L618,0))</f>
        <v/>
      </c>
      <c r="N618" s="21">
        <f>SUMPRODUCT(MAX((Брони!$B$2:$B$500=B618)*((Брони!$F$2:$F$500="Выдана")+(Брони!$F$2:$F$500="Возвращена"))*(Брони!$D$2:$D$500&lt;=A618)*Брони!$D$2:$D$500))</f>
        <v/>
      </c>
      <c r="O618" s="19">
        <f>SUMPRODUCT((Брони!$B$2:$B$500=B618)*(Брони!$D$2:$D$500=N618)*((((Брони!$F$2:$F$500="Выдана")*NOW())+((Брони!$F$2:$F$500="Возвращена")*Брони!$E$2:$E$500))&gt;=A618)*Брони!$A$2:$A$500)</f>
        <v/>
      </c>
      <c r="P618" s="19">
        <f>SUMPRODUCT((Брони!$B$2:$B$500=B618)*(Брони!$D$2:$D$500=N618)*(((Брони!$F$2:$F$500="Выдана")+(Брони!$F$2:$F$500="Возвращена"))))</f>
        <v/>
      </c>
      <c r="Q618" s="10" t="n"/>
    </row>
    <row r="619">
      <c r="A619" s="11" t="n"/>
      <c r="B619" s="10" t="n"/>
      <c r="C619" s="10" t="n"/>
      <c r="D619" s="14" t="n"/>
      <c r="E619" s="10" t="n"/>
      <c r="F619" s="20">
        <f>IF(OR(A619="",B619=""),"",IF(OR(NOT(ISNUMBER(A619)),ISERROR(N619+O619+P619)),"Проверьте даты",IF(AND(N619&gt;0,P619&gt;1),"Дубль",IF(AND(N619&gt;0,O619&gt;0),O619,"Вне аренды"))))</f>
        <v/>
      </c>
      <c r="G619" s="12">
        <f>IF(ISNUMBER(F619),IFERROR(INDEX(Брони!$C$2:$C$500,MATCH(F619,Брони!$A$2:$A$500,0)),""),"")</f>
        <v/>
      </c>
      <c r="H619" s="10" t="n"/>
      <c r="I619" s="18" t="n"/>
      <c r="J619" s="12">
        <f>IF(AND(ISNUMBER(F619),I619&lt;&gt;""),IFERROR(IF(AND(INDEX(Брони!$F$2:$F$500,MATCH(F619,Брони!$A$2:$A$500,0))="Возвращена",I619&gt;INDEX(Брони!$E$2:$E$500,MATCH(F619,Брони!$A$2:$A$500,0))),"Да",""),""),"")</f>
        <v/>
      </c>
      <c r="K619" s="10" t="n"/>
      <c r="L619" s="14" t="n"/>
      <c r="M619" s="15">
        <f>IF(OR(A619="",B619=""),"",IF(AND(ISNUMBER(F619),H619&lt;&gt;"Компания"),D619+L619,0))</f>
        <v/>
      </c>
      <c r="N619" s="21">
        <f>SUMPRODUCT(MAX((Брони!$B$2:$B$500=B619)*((Брони!$F$2:$F$500="Выдана")+(Брони!$F$2:$F$500="Возвращена"))*(Брони!$D$2:$D$500&lt;=A619)*Брони!$D$2:$D$500))</f>
        <v/>
      </c>
      <c r="O619" s="19">
        <f>SUMPRODUCT((Брони!$B$2:$B$500=B619)*(Брони!$D$2:$D$500=N619)*((((Брони!$F$2:$F$500="Выдана")*NOW())+((Брони!$F$2:$F$500="Возвращена")*Брони!$E$2:$E$500))&gt;=A619)*Брони!$A$2:$A$500)</f>
        <v/>
      </c>
      <c r="P619" s="19">
        <f>SUMPRODUCT((Брони!$B$2:$B$500=B619)*(Брони!$D$2:$D$500=N619)*(((Брони!$F$2:$F$500="Выдана")+(Брони!$F$2:$F$500="Возвращена"))))</f>
        <v/>
      </c>
      <c r="Q619" s="10" t="n"/>
    </row>
    <row r="620">
      <c r="A620" s="11" t="n"/>
      <c r="B620" s="10" t="n"/>
      <c r="C620" s="10" t="n"/>
      <c r="D620" s="14" t="n"/>
      <c r="E620" s="10" t="n"/>
      <c r="F620" s="20">
        <f>IF(OR(A620="",B620=""),"",IF(OR(NOT(ISNUMBER(A620)),ISERROR(N620+O620+P620)),"Проверьте даты",IF(AND(N620&gt;0,P620&gt;1),"Дубль",IF(AND(N620&gt;0,O620&gt;0),O620,"Вне аренды"))))</f>
        <v/>
      </c>
      <c r="G620" s="12">
        <f>IF(ISNUMBER(F620),IFERROR(INDEX(Брони!$C$2:$C$500,MATCH(F620,Брони!$A$2:$A$500,0)),""),"")</f>
        <v/>
      </c>
      <c r="H620" s="10" t="n"/>
      <c r="I620" s="18" t="n"/>
      <c r="J620" s="12">
        <f>IF(AND(ISNUMBER(F620),I620&lt;&gt;""),IFERROR(IF(AND(INDEX(Брони!$F$2:$F$500,MATCH(F620,Брони!$A$2:$A$500,0))="Возвращена",I620&gt;INDEX(Брони!$E$2:$E$500,MATCH(F620,Брони!$A$2:$A$500,0))),"Да",""),""),"")</f>
        <v/>
      </c>
      <c r="K620" s="10" t="n"/>
      <c r="L620" s="14" t="n"/>
      <c r="M620" s="15">
        <f>IF(OR(A620="",B620=""),"",IF(AND(ISNUMBER(F620),H620&lt;&gt;"Компания"),D620+L620,0))</f>
        <v/>
      </c>
      <c r="N620" s="21">
        <f>SUMPRODUCT(MAX((Брони!$B$2:$B$500=B620)*((Брони!$F$2:$F$500="Выдана")+(Брони!$F$2:$F$500="Возвращена"))*(Брони!$D$2:$D$500&lt;=A620)*Брони!$D$2:$D$500))</f>
        <v/>
      </c>
      <c r="O620" s="19">
        <f>SUMPRODUCT((Брони!$B$2:$B$500=B620)*(Брони!$D$2:$D$500=N620)*((((Брони!$F$2:$F$500="Выдана")*NOW())+((Брони!$F$2:$F$500="Возвращена")*Брони!$E$2:$E$500))&gt;=A620)*Брони!$A$2:$A$500)</f>
        <v/>
      </c>
      <c r="P620" s="19">
        <f>SUMPRODUCT((Брони!$B$2:$B$500=B620)*(Брони!$D$2:$D$500=N620)*(((Брони!$F$2:$F$500="Выдана")+(Брони!$F$2:$F$500="Возвращена"))))</f>
        <v/>
      </c>
      <c r="Q620" s="10" t="n"/>
    </row>
    <row r="621">
      <c r="A621" s="11" t="n"/>
      <c r="B621" s="10" t="n"/>
      <c r="C621" s="10" t="n"/>
      <c r="D621" s="14" t="n"/>
      <c r="E621" s="10" t="n"/>
      <c r="F621" s="20">
        <f>IF(OR(A621="",B621=""),"",IF(OR(NOT(ISNUMBER(A621)),ISERROR(N621+O621+P621)),"Проверьте даты",IF(AND(N621&gt;0,P621&gt;1),"Дубль",IF(AND(N621&gt;0,O621&gt;0),O621,"Вне аренды"))))</f>
        <v/>
      </c>
      <c r="G621" s="12">
        <f>IF(ISNUMBER(F621),IFERROR(INDEX(Брони!$C$2:$C$500,MATCH(F621,Брони!$A$2:$A$500,0)),""),"")</f>
        <v/>
      </c>
      <c r="H621" s="10" t="n"/>
      <c r="I621" s="18" t="n"/>
      <c r="J621" s="12">
        <f>IF(AND(ISNUMBER(F621),I621&lt;&gt;""),IFERROR(IF(AND(INDEX(Брони!$F$2:$F$500,MATCH(F621,Брони!$A$2:$A$500,0))="Возвращена",I621&gt;INDEX(Брони!$E$2:$E$500,MATCH(F621,Брони!$A$2:$A$500,0))),"Да",""),""),"")</f>
        <v/>
      </c>
      <c r="K621" s="10" t="n"/>
      <c r="L621" s="14" t="n"/>
      <c r="M621" s="15">
        <f>IF(OR(A621="",B621=""),"",IF(AND(ISNUMBER(F621),H621&lt;&gt;"Компания"),D621+L621,0))</f>
        <v/>
      </c>
      <c r="N621" s="21">
        <f>SUMPRODUCT(MAX((Брони!$B$2:$B$500=B621)*((Брони!$F$2:$F$500="Выдана")+(Брони!$F$2:$F$500="Возвращена"))*(Брони!$D$2:$D$500&lt;=A621)*Брони!$D$2:$D$500))</f>
        <v/>
      </c>
      <c r="O621" s="19">
        <f>SUMPRODUCT((Брони!$B$2:$B$500=B621)*(Брони!$D$2:$D$500=N621)*((((Брони!$F$2:$F$500="Выдана")*NOW())+((Брони!$F$2:$F$500="Возвращена")*Брони!$E$2:$E$500))&gt;=A621)*Брони!$A$2:$A$500)</f>
        <v/>
      </c>
      <c r="P621" s="19">
        <f>SUMPRODUCT((Брони!$B$2:$B$500=B621)*(Брони!$D$2:$D$500=N621)*(((Брони!$F$2:$F$500="Выдана")+(Брони!$F$2:$F$500="Возвращена"))))</f>
        <v/>
      </c>
      <c r="Q621" s="10" t="n"/>
    </row>
    <row r="622">
      <c r="A622" s="11" t="n"/>
      <c r="B622" s="10" t="n"/>
      <c r="C622" s="10" t="n"/>
      <c r="D622" s="14" t="n"/>
      <c r="E622" s="10" t="n"/>
      <c r="F622" s="20">
        <f>IF(OR(A622="",B622=""),"",IF(OR(NOT(ISNUMBER(A622)),ISERROR(N622+O622+P622)),"Проверьте даты",IF(AND(N622&gt;0,P622&gt;1),"Дубль",IF(AND(N622&gt;0,O622&gt;0),O622,"Вне аренды"))))</f>
        <v/>
      </c>
      <c r="G622" s="12">
        <f>IF(ISNUMBER(F622),IFERROR(INDEX(Брони!$C$2:$C$500,MATCH(F622,Брони!$A$2:$A$500,0)),""),"")</f>
        <v/>
      </c>
      <c r="H622" s="10" t="n"/>
      <c r="I622" s="18" t="n"/>
      <c r="J622" s="12">
        <f>IF(AND(ISNUMBER(F622),I622&lt;&gt;""),IFERROR(IF(AND(INDEX(Брони!$F$2:$F$500,MATCH(F622,Брони!$A$2:$A$500,0))="Возвращена",I622&gt;INDEX(Брони!$E$2:$E$500,MATCH(F622,Брони!$A$2:$A$500,0))),"Да",""),""),"")</f>
        <v/>
      </c>
      <c r="K622" s="10" t="n"/>
      <c r="L622" s="14" t="n"/>
      <c r="M622" s="15">
        <f>IF(OR(A622="",B622=""),"",IF(AND(ISNUMBER(F622),H622&lt;&gt;"Компания"),D622+L622,0))</f>
        <v/>
      </c>
      <c r="N622" s="21">
        <f>SUMPRODUCT(MAX((Брони!$B$2:$B$500=B622)*((Брони!$F$2:$F$500="Выдана")+(Брони!$F$2:$F$500="Возвращена"))*(Брони!$D$2:$D$500&lt;=A622)*Брони!$D$2:$D$500))</f>
        <v/>
      </c>
      <c r="O622" s="19">
        <f>SUMPRODUCT((Брони!$B$2:$B$500=B622)*(Брони!$D$2:$D$500=N622)*((((Брони!$F$2:$F$500="Выдана")*NOW())+((Брони!$F$2:$F$500="Возвращена")*Брони!$E$2:$E$500))&gt;=A622)*Брони!$A$2:$A$500)</f>
        <v/>
      </c>
      <c r="P622" s="19">
        <f>SUMPRODUCT((Брони!$B$2:$B$500=B622)*(Брони!$D$2:$D$500=N622)*(((Брони!$F$2:$F$500="Выдана")+(Брони!$F$2:$F$500="Возвращена"))))</f>
        <v/>
      </c>
      <c r="Q622" s="10" t="n"/>
    </row>
    <row r="623">
      <c r="A623" s="11" t="n"/>
      <c r="B623" s="10" t="n"/>
      <c r="C623" s="10" t="n"/>
      <c r="D623" s="14" t="n"/>
      <c r="E623" s="10" t="n"/>
      <c r="F623" s="20">
        <f>IF(OR(A623="",B623=""),"",IF(OR(NOT(ISNUMBER(A623)),ISERROR(N623+O623+P623)),"Проверьте даты",IF(AND(N623&gt;0,P623&gt;1),"Дубль",IF(AND(N623&gt;0,O623&gt;0),O623,"Вне аренды"))))</f>
        <v/>
      </c>
      <c r="G623" s="12">
        <f>IF(ISNUMBER(F623),IFERROR(INDEX(Брони!$C$2:$C$500,MATCH(F623,Брони!$A$2:$A$500,0)),""),"")</f>
        <v/>
      </c>
      <c r="H623" s="10" t="n"/>
      <c r="I623" s="18" t="n"/>
      <c r="J623" s="12">
        <f>IF(AND(ISNUMBER(F623),I623&lt;&gt;""),IFERROR(IF(AND(INDEX(Брони!$F$2:$F$500,MATCH(F623,Брони!$A$2:$A$500,0))="Возвращена",I623&gt;INDEX(Брони!$E$2:$E$500,MATCH(F623,Брони!$A$2:$A$500,0))),"Да",""),""),"")</f>
        <v/>
      </c>
      <c r="K623" s="10" t="n"/>
      <c r="L623" s="14" t="n"/>
      <c r="M623" s="15">
        <f>IF(OR(A623="",B623=""),"",IF(AND(ISNUMBER(F623),H623&lt;&gt;"Компания"),D623+L623,0))</f>
        <v/>
      </c>
      <c r="N623" s="21">
        <f>SUMPRODUCT(MAX((Брони!$B$2:$B$500=B623)*((Брони!$F$2:$F$500="Выдана")+(Брони!$F$2:$F$500="Возвращена"))*(Брони!$D$2:$D$500&lt;=A623)*Брони!$D$2:$D$500))</f>
        <v/>
      </c>
      <c r="O623" s="19">
        <f>SUMPRODUCT((Брони!$B$2:$B$500=B623)*(Брони!$D$2:$D$500=N623)*((((Брони!$F$2:$F$500="Выдана")*NOW())+((Брони!$F$2:$F$500="Возвращена")*Брони!$E$2:$E$500))&gt;=A623)*Брони!$A$2:$A$500)</f>
        <v/>
      </c>
      <c r="P623" s="19">
        <f>SUMPRODUCT((Брони!$B$2:$B$500=B623)*(Брони!$D$2:$D$500=N623)*(((Брони!$F$2:$F$500="Выдана")+(Брони!$F$2:$F$500="Возвращена"))))</f>
        <v/>
      </c>
      <c r="Q623" s="10" t="n"/>
    </row>
    <row r="624">
      <c r="A624" s="11" t="n"/>
      <c r="B624" s="10" t="n"/>
      <c r="C624" s="10" t="n"/>
      <c r="D624" s="14" t="n"/>
      <c r="E624" s="10" t="n"/>
      <c r="F624" s="20">
        <f>IF(OR(A624="",B624=""),"",IF(OR(NOT(ISNUMBER(A624)),ISERROR(N624+O624+P624)),"Проверьте даты",IF(AND(N624&gt;0,P624&gt;1),"Дубль",IF(AND(N624&gt;0,O624&gt;0),O624,"Вне аренды"))))</f>
        <v/>
      </c>
      <c r="G624" s="12">
        <f>IF(ISNUMBER(F624),IFERROR(INDEX(Брони!$C$2:$C$500,MATCH(F624,Брони!$A$2:$A$500,0)),""),"")</f>
        <v/>
      </c>
      <c r="H624" s="10" t="n"/>
      <c r="I624" s="18" t="n"/>
      <c r="J624" s="12">
        <f>IF(AND(ISNUMBER(F624),I624&lt;&gt;""),IFERROR(IF(AND(INDEX(Брони!$F$2:$F$500,MATCH(F624,Брони!$A$2:$A$500,0))="Возвращена",I624&gt;INDEX(Брони!$E$2:$E$500,MATCH(F624,Брони!$A$2:$A$500,0))),"Да",""),""),"")</f>
        <v/>
      </c>
      <c r="K624" s="10" t="n"/>
      <c r="L624" s="14" t="n"/>
      <c r="M624" s="15">
        <f>IF(OR(A624="",B624=""),"",IF(AND(ISNUMBER(F624),H624&lt;&gt;"Компания"),D624+L624,0))</f>
        <v/>
      </c>
      <c r="N624" s="21">
        <f>SUMPRODUCT(MAX((Брони!$B$2:$B$500=B624)*((Брони!$F$2:$F$500="Выдана")+(Брони!$F$2:$F$500="Возвращена"))*(Брони!$D$2:$D$500&lt;=A624)*Брони!$D$2:$D$500))</f>
        <v/>
      </c>
      <c r="O624" s="19">
        <f>SUMPRODUCT((Брони!$B$2:$B$500=B624)*(Брони!$D$2:$D$500=N624)*((((Брони!$F$2:$F$500="Выдана")*NOW())+((Брони!$F$2:$F$500="Возвращена")*Брони!$E$2:$E$500))&gt;=A624)*Брони!$A$2:$A$500)</f>
        <v/>
      </c>
      <c r="P624" s="19">
        <f>SUMPRODUCT((Брони!$B$2:$B$500=B624)*(Брони!$D$2:$D$500=N624)*(((Брони!$F$2:$F$500="Выдана")+(Брони!$F$2:$F$500="Возвращена"))))</f>
        <v/>
      </c>
      <c r="Q624" s="10" t="n"/>
    </row>
    <row r="625">
      <c r="A625" s="11" t="n"/>
      <c r="B625" s="10" t="n"/>
      <c r="C625" s="10" t="n"/>
      <c r="D625" s="14" t="n"/>
      <c r="E625" s="10" t="n"/>
      <c r="F625" s="20">
        <f>IF(OR(A625="",B625=""),"",IF(OR(NOT(ISNUMBER(A625)),ISERROR(N625+O625+P625)),"Проверьте даты",IF(AND(N625&gt;0,P625&gt;1),"Дубль",IF(AND(N625&gt;0,O625&gt;0),O625,"Вне аренды"))))</f>
        <v/>
      </c>
      <c r="G625" s="12">
        <f>IF(ISNUMBER(F625),IFERROR(INDEX(Брони!$C$2:$C$500,MATCH(F625,Брони!$A$2:$A$500,0)),""),"")</f>
        <v/>
      </c>
      <c r="H625" s="10" t="n"/>
      <c r="I625" s="18" t="n"/>
      <c r="J625" s="12">
        <f>IF(AND(ISNUMBER(F625),I625&lt;&gt;""),IFERROR(IF(AND(INDEX(Брони!$F$2:$F$500,MATCH(F625,Брони!$A$2:$A$500,0))="Возвращена",I625&gt;INDEX(Брони!$E$2:$E$500,MATCH(F625,Брони!$A$2:$A$500,0))),"Да",""),""),"")</f>
        <v/>
      </c>
      <c r="K625" s="10" t="n"/>
      <c r="L625" s="14" t="n"/>
      <c r="M625" s="15">
        <f>IF(OR(A625="",B625=""),"",IF(AND(ISNUMBER(F625),H625&lt;&gt;"Компания"),D625+L625,0))</f>
        <v/>
      </c>
      <c r="N625" s="21">
        <f>SUMPRODUCT(MAX((Брони!$B$2:$B$500=B625)*((Брони!$F$2:$F$500="Выдана")+(Брони!$F$2:$F$500="Возвращена"))*(Брони!$D$2:$D$500&lt;=A625)*Брони!$D$2:$D$500))</f>
        <v/>
      </c>
      <c r="O625" s="19">
        <f>SUMPRODUCT((Брони!$B$2:$B$500=B625)*(Брони!$D$2:$D$500=N625)*((((Брони!$F$2:$F$500="Выдана")*NOW())+((Брони!$F$2:$F$500="Возвращена")*Брони!$E$2:$E$500))&gt;=A625)*Брони!$A$2:$A$500)</f>
        <v/>
      </c>
      <c r="P625" s="19">
        <f>SUMPRODUCT((Брони!$B$2:$B$500=B625)*(Брони!$D$2:$D$500=N625)*(((Брони!$F$2:$F$500="Выдана")+(Брони!$F$2:$F$500="Возвращена"))))</f>
        <v/>
      </c>
      <c r="Q625" s="10" t="n"/>
    </row>
    <row r="626">
      <c r="A626" s="11" t="n"/>
      <c r="B626" s="10" t="n"/>
      <c r="C626" s="10" t="n"/>
      <c r="D626" s="14" t="n"/>
      <c r="E626" s="10" t="n"/>
      <c r="F626" s="20">
        <f>IF(OR(A626="",B626=""),"",IF(OR(NOT(ISNUMBER(A626)),ISERROR(N626+O626+P626)),"Проверьте даты",IF(AND(N626&gt;0,P626&gt;1),"Дубль",IF(AND(N626&gt;0,O626&gt;0),O626,"Вне аренды"))))</f>
        <v/>
      </c>
      <c r="G626" s="12">
        <f>IF(ISNUMBER(F626),IFERROR(INDEX(Брони!$C$2:$C$500,MATCH(F626,Брони!$A$2:$A$500,0)),""),"")</f>
        <v/>
      </c>
      <c r="H626" s="10" t="n"/>
      <c r="I626" s="18" t="n"/>
      <c r="J626" s="12">
        <f>IF(AND(ISNUMBER(F626),I626&lt;&gt;""),IFERROR(IF(AND(INDEX(Брони!$F$2:$F$500,MATCH(F626,Брони!$A$2:$A$500,0))="Возвращена",I626&gt;INDEX(Брони!$E$2:$E$500,MATCH(F626,Брони!$A$2:$A$500,0))),"Да",""),""),"")</f>
        <v/>
      </c>
      <c r="K626" s="10" t="n"/>
      <c r="L626" s="14" t="n"/>
      <c r="M626" s="15">
        <f>IF(OR(A626="",B626=""),"",IF(AND(ISNUMBER(F626),H626&lt;&gt;"Компания"),D626+L626,0))</f>
        <v/>
      </c>
      <c r="N626" s="21">
        <f>SUMPRODUCT(MAX((Брони!$B$2:$B$500=B626)*((Брони!$F$2:$F$500="Выдана")+(Брони!$F$2:$F$500="Возвращена"))*(Брони!$D$2:$D$500&lt;=A626)*Брони!$D$2:$D$500))</f>
        <v/>
      </c>
      <c r="O626" s="19">
        <f>SUMPRODUCT((Брони!$B$2:$B$500=B626)*(Брони!$D$2:$D$500=N626)*((((Брони!$F$2:$F$500="Выдана")*NOW())+((Брони!$F$2:$F$500="Возвращена")*Брони!$E$2:$E$500))&gt;=A626)*Брони!$A$2:$A$500)</f>
        <v/>
      </c>
      <c r="P626" s="19">
        <f>SUMPRODUCT((Брони!$B$2:$B$500=B626)*(Брони!$D$2:$D$500=N626)*(((Брони!$F$2:$F$500="Выдана")+(Брони!$F$2:$F$500="Возвращена"))))</f>
        <v/>
      </c>
      <c r="Q626" s="10" t="n"/>
    </row>
    <row r="627">
      <c r="A627" s="11" t="n"/>
      <c r="B627" s="10" t="n"/>
      <c r="C627" s="10" t="n"/>
      <c r="D627" s="14" t="n"/>
      <c r="E627" s="10" t="n"/>
      <c r="F627" s="20">
        <f>IF(OR(A627="",B627=""),"",IF(OR(NOT(ISNUMBER(A627)),ISERROR(N627+O627+P627)),"Проверьте даты",IF(AND(N627&gt;0,P627&gt;1),"Дубль",IF(AND(N627&gt;0,O627&gt;0),O627,"Вне аренды"))))</f>
        <v/>
      </c>
      <c r="G627" s="12">
        <f>IF(ISNUMBER(F627),IFERROR(INDEX(Брони!$C$2:$C$500,MATCH(F627,Брони!$A$2:$A$500,0)),""),"")</f>
        <v/>
      </c>
      <c r="H627" s="10" t="n"/>
      <c r="I627" s="18" t="n"/>
      <c r="J627" s="12">
        <f>IF(AND(ISNUMBER(F627),I627&lt;&gt;""),IFERROR(IF(AND(INDEX(Брони!$F$2:$F$500,MATCH(F627,Брони!$A$2:$A$500,0))="Возвращена",I627&gt;INDEX(Брони!$E$2:$E$500,MATCH(F627,Брони!$A$2:$A$500,0))),"Да",""),""),"")</f>
        <v/>
      </c>
      <c r="K627" s="10" t="n"/>
      <c r="L627" s="14" t="n"/>
      <c r="M627" s="15">
        <f>IF(OR(A627="",B627=""),"",IF(AND(ISNUMBER(F627),H627&lt;&gt;"Компания"),D627+L627,0))</f>
        <v/>
      </c>
      <c r="N627" s="21">
        <f>SUMPRODUCT(MAX((Брони!$B$2:$B$500=B627)*((Брони!$F$2:$F$500="Выдана")+(Брони!$F$2:$F$500="Возвращена"))*(Брони!$D$2:$D$500&lt;=A627)*Брони!$D$2:$D$500))</f>
        <v/>
      </c>
      <c r="O627" s="19">
        <f>SUMPRODUCT((Брони!$B$2:$B$500=B627)*(Брони!$D$2:$D$500=N627)*((((Брони!$F$2:$F$500="Выдана")*NOW())+((Брони!$F$2:$F$500="Возвращена")*Брони!$E$2:$E$500))&gt;=A627)*Брони!$A$2:$A$500)</f>
        <v/>
      </c>
      <c r="P627" s="19">
        <f>SUMPRODUCT((Брони!$B$2:$B$500=B627)*(Брони!$D$2:$D$500=N627)*(((Брони!$F$2:$F$500="Выдана")+(Брони!$F$2:$F$500="Возвращена"))))</f>
        <v/>
      </c>
      <c r="Q627" s="10" t="n"/>
    </row>
    <row r="628">
      <c r="A628" s="11" t="n"/>
      <c r="B628" s="10" t="n"/>
      <c r="C628" s="10" t="n"/>
      <c r="D628" s="14" t="n"/>
      <c r="E628" s="10" t="n"/>
      <c r="F628" s="20">
        <f>IF(OR(A628="",B628=""),"",IF(OR(NOT(ISNUMBER(A628)),ISERROR(N628+O628+P628)),"Проверьте даты",IF(AND(N628&gt;0,P628&gt;1),"Дубль",IF(AND(N628&gt;0,O628&gt;0),O628,"Вне аренды"))))</f>
        <v/>
      </c>
      <c r="G628" s="12">
        <f>IF(ISNUMBER(F628),IFERROR(INDEX(Брони!$C$2:$C$500,MATCH(F628,Брони!$A$2:$A$500,0)),""),"")</f>
        <v/>
      </c>
      <c r="H628" s="10" t="n"/>
      <c r="I628" s="18" t="n"/>
      <c r="J628" s="12">
        <f>IF(AND(ISNUMBER(F628),I628&lt;&gt;""),IFERROR(IF(AND(INDEX(Брони!$F$2:$F$500,MATCH(F628,Брони!$A$2:$A$500,0))="Возвращена",I628&gt;INDEX(Брони!$E$2:$E$500,MATCH(F628,Брони!$A$2:$A$500,0))),"Да",""),""),"")</f>
        <v/>
      </c>
      <c r="K628" s="10" t="n"/>
      <c r="L628" s="14" t="n"/>
      <c r="M628" s="15">
        <f>IF(OR(A628="",B628=""),"",IF(AND(ISNUMBER(F628),H628&lt;&gt;"Компания"),D628+L628,0))</f>
        <v/>
      </c>
      <c r="N628" s="21">
        <f>SUMPRODUCT(MAX((Брони!$B$2:$B$500=B628)*((Брони!$F$2:$F$500="Выдана")+(Брони!$F$2:$F$500="Возвращена"))*(Брони!$D$2:$D$500&lt;=A628)*Брони!$D$2:$D$500))</f>
        <v/>
      </c>
      <c r="O628" s="19">
        <f>SUMPRODUCT((Брони!$B$2:$B$500=B628)*(Брони!$D$2:$D$500=N628)*((((Брони!$F$2:$F$500="Выдана")*NOW())+((Брони!$F$2:$F$500="Возвращена")*Брони!$E$2:$E$500))&gt;=A628)*Брони!$A$2:$A$500)</f>
        <v/>
      </c>
      <c r="P628" s="19">
        <f>SUMPRODUCT((Брони!$B$2:$B$500=B628)*(Брони!$D$2:$D$500=N628)*(((Брони!$F$2:$F$500="Выдана")+(Брони!$F$2:$F$500="Возвращена"))))</f>
        <v/>
      </c>
      <c r="Q628" s="10" t="n"/>
    </row>
    <row r="629">
      <c r="A629" s="11" t="n"/>
      <c r="B629" s="10" t="n"/>
      <c r="C629" s="10" t="n"/>
      <c r="D629" s="14" t="n"/>
      <c r="E629" s="10" t="n"/>
      <c r="F629" s="20">
        <f>IF(OR(A629="",B629=""),"",IF(OR(NOT(ISNUMBER(A629)),ISERROR(N629+O629+P629)),"Проверьте даты",IF(AND(N629&gt;0,P629&gt;1),"Дубль",IF(AND(N629&gt;0,O629&gt;0),O629,"Вне аренды"))))</f>
        <v/>
      </c>
      <c r="G629" s="12">
        <f>IF(ISNUMBER(F629),IFERROR(INDEX(Брони!$C$2:$C$500,MATCH(F629,Брони!$A$2:$A$500,0)),""),"")</f>
        <v/>
      </c>
      <c r="H629" s="10" t="n"/>
      <c r="I629" s="18" t="n"/>
      <c r="J629" s="12">
        <f>IF(AND(ISNUMBER(F629),I629&lt;&gt;""),IFERROR(IF(AND(INDEX(Брони!$F$2:$F$500,MATCH(F629,Брони!$A$2:$A$500,0))="Возвращена",I629&gt;INDEX(Брони!$E$2:$E$500,MATCH(F629,Брони!$A$2:$A$500,0))),"Да",""),""),"")</f>
        <v/>
      </c>
      <c r="K629" s="10" t="n"/>
      <c r="L629" s="14" t="n"/>
      <c r="M629" s="15">
        <f>IF(OR(A629="",B629=""),"",IF(AND(ISNUMBER(F629),H629&lt;&gt;"Компания"),D629+L629,0))</f>
        <v/>
      </c>
      <c r="N629" s="21">
        <f>SUMPRODUCT(MAX((Брони!$B$2:$B$500=B629)*((Брони!$F$2:$F$500="Выдана")+(Брони!$F$2:$F$500="Возвращена"))*(Брони!$D$2:$D$500&lt;=A629)*Брони!$D$2:$D$500))</f>
        <v/>
      </c>
      <c r="O629" s="19">
        <f>SUMPRODUCT((Брони!$B$2:$B$500=B629)*(Брони!$D$2:$D$500=N629)*((((Брони!$F$2:$F$500="Выдана")*NOW())+((Брони!$F$2:$F$500="Возвращена")*Брони!$E$2:$E$500))&gt;=A629)*Брони!$A$2:$A$500)</f>
        <v/>
      </c>
      <c r="P629" s="19">
        <f>SUMPRODUCT((Брони!$B$2:$B$500=B629)*(Брони!$D$2:$D$500=N629)*(((Брони!$F$2:$F$500="Выдана")+(Брони!$F$2:$F$500="Возвращена"))))</f>
        <v/>
      </c>
      <c r="Q629" s="10" t="n"/>
    </row>
    <row r="630">
      <c r="A630" s="11" t="n"/>
      <c r="B630" s="10" t="n"/>
      <c r="C630" s="10" t="n"/>
      <c r="D630" s="14" t="n"/>
      <c r="E630" s="10" t="n"/>
      <c r="F630" s="20">
        <f>IF(OR(A630="",B630=""),"",IF(OR(NOT(ISNUMBER(A630)),ISERROR(N630+O630+P630)),"Проверьте даты",IF(AND(N630&gt;0,P630&gt;1),"Дубль",IF(AND(N630&gt;0,O630&gt;0),O630,"Вне аренды"))))</f>
        <v/>
      </c>
      <c r="G630" s="12">
        <f>IF(ISNUMBER(F630),IFERROR(INDEX(Брони!$C$2:$C$500,MATCH(F630,Брони!$A$2:$A$500,0)),""),"")</f>
        <v/>
      </c>
      <c r="H630" s="10" t="n"/>
      <c r="I630" s="18" t="n"/>
      <c r="J630" s="12">
        <f>IF(AND(ISNUMBER(F630),I630&lt;&gt;""),IFERROR(IF(AND(INDEX(Брони!$F$2:$F$500,MATCH(F630,Брони!$A$2:$A$500,0))="Возвращена",I630&gt;INDEX(Брони!$E$2:$E$500,MATCH(F630,Брони!$A$2:$A$500,0))),"Да",""),""),"")</f>
        <v/>
      </c>
      <c r="K630" s="10" t="n"/>
      <c r="L630" s="14" t="n"/>
      <c r="M630" s="15">
        <f>IF(OR(A630="",B630=""),"",IF(AND(ISNUMBER(F630),H630&lt;&gt;"Компания"),D630+L630,0))</f>
        <v/>
      </c>
      <c r="N630" s="21">
        <f>SUMPRODUCT(MAX((Брони!$B$2:$B$500=B630)*((Брони!$F$2:$F$500="Выдана")+(Брони!$F$2:$F$500="Возвращена"))*(Брони!$D$2:$D$500&lt;=A630)*Брони!$D$2:$D$500))</f>
        <v/>
      </c>
      <c r="O630" s="19">
        <f>SUMPRODUCT((Брони!$B$2:$B$500=B630)*(Брони!$D$2:$D$500=N630)*((((Брони!$F$2:$F$500="Выдана")*NOW())+((Брони!$F$2:$F$500="Возвращена")*Брони!$E$2:$E$500))&gt;=A630)*Брони!$A$2:$A$500)</f>
        <v/>
      </c>
      <c r="P630" s="19">
        <f>SUMPRODUCT((Брони!$B$2:$B$500=B630)*(Брони!$D$2:$D$500=N630)*(((Брони!$F$2:$F$500="Выдана")+(Брони!$F$2:$F$500="Возвращена"))))</f>
        <v/>
      </c>
      <c r="Q630" s="10" t="n"/>
    </row>
    <row r="631">
      <c r="A631" s="11" t="n"/>
      <c r="B631" s="10" t="n"/>
      <c r="C631" s="10" t="n"/>
      <c r="D631" s="14" t="n"/>
      <c r="E631" s="10" t="n"/>
      <c r="F631" s="20">
        <f>IF(OR(A631="",B631=""),"",IF(OR(NOT(ISNUMBER(A631)),ISERROR(N631+O631+P631)),"Проверьте даты",IF(AND(N631&gt;0,P631&gt;1),"Дубль",IF(AND(N631&gt;0,O631&gt;0),O631,"Вне аренды"))))</f>
        <v/>
      </c>
      <c r="G631" s="12">
        <f>IF(ISNUMBER(F631),IFERROR(INDEX(Брони!$C$2:$C$500,MATCH(F631,Брони!$A$2:$A$500,0)),""),"")</f>
        <v/>
      </c>
      <c r="H631" s="10" t="n"/>
      <c r="I631" s="18" t="n"/>
      <c r="J631" s="12">
        <f>IF(AND(ISNUMBER(F631),I631&lt;&gt;""),IFERROR(IF(AND(INDEX(Брони!$F$2:$F$500,MATCH(F631,Брони!$A$2:$A$500,0))="Возвращена",I631&gt;INDEX(Брони!$E$2:$E$500,MATCH(F631,Брони!$A$2:$A$500,0))),"Да",""),""),"")</f>
        <v/>
      </c>
      <c r="K631" s="10" t="n"/>
      <c r="L631" s="14" t="n"/>
      <c r="M631" s="15">
        <f>IF(OR(A631="",B631=""),"",IF(AND(ISNUMBER(F631),H631&lt;&gt;"Компания"),D631+L631,0))</f>
        <v/>
      </c>
      <c r="N631" s="21">
        <f>SUMPRODUCT(MAX((Брони!$B$2:$B$500=B631)*((Брони!$F$2:$F$500="Выдана")+(Брони!$F$2:$F$500="Возвращена"))*(Брони!$D$2:$D$500&lt;=A631)*Брони!$D$2:$D$500))</f>
        <v/>
      </c>
      <c r="O631" s="19">
        <f>SUMPRODUCT((Брони!$B$2:$B$500=B631)*(Брони!$D$2:$D$500=N631)*((((Брони!$F$2:$F$500="Выдана")*NOW())+((Брони!$F$2:$F$500="Возвращена")*Брони!$E$2:$E$500))&gt;=A631)*Брони!$A$2:$A$500)</f>
        <v/>
      </c>
      <c r="P631" s="19">
        <f>SUMPRODUCT((Брони!$B$2:$B$500=B631)*(Брони!$D$2:$D$500=N631)*(((Брони!$F$2:$F$500="Выдана")+(Брони!$F$2:$F$500="Возвращена"))))</f>
        <v/>
      </c>
      <c r="Q631" s="10" t="n"/>
    </row>
    <row r="632">
      <c r="A632" s="11" t="n"/>
      <c r="B632" s="10" t="n"/>
      <c r="C632" s="10" t="n"/>
      <c r="D632" s="14" t="n"/>
      <c r="E632" s="10" t="n"/>
      <c r="F632" s="20">
        <f>IF(OR(A632="",B632=""),"",IF(OR(NOT(ISNUMBER(A632)),ISERROR(N632+O632+P632)),"Проверьте даты",IF(AND(N632&gt;0,P632&gt;1),"Дубль",IF(AND(N632&gt;0,O632&gt;0),O632,"Вне аренды"))))</f>
        <v/>
      </c>
      <c r="G632" s="12">
        <f>IF(ISNUMBER(F632),IFERROR(INDEX(Брони!$C$2:$C$500,MATCH(F632,Брони!$A$2:$A$500,0)),""),"")</f>
        <v/>
      </c>
      <c r="H632" s="10" t="n"/>
      <c r="I632" s="18" t="n"/>
      <c r="J632" s="12">
        <f>IF(AND(ISNUMBER(F632),I632&lt;&gt;""),IFERROR(IF(AND(INDEX(Брони!$F$2:$F$500,MATCH(F632,Брони!$A$2:$A$500,0))="Возвращена",I632&gt;INDEX(Брони!$E$2:$E$500,MATCH(F632,Брони!$A$2:$A$500,0))),"Да",""),""),"")</f>
        <v/>
      </c>
      <c r="K632" s="10" t="n"/>
      <c r="L632" s="14" t="n"/>
      <c r="M632" s="15">
        <f>IF(OR(A632="",B632=""),"",IF(AND(ISNUMBER(F632),H632&lt;&gt;"Компания"),D632+L632,0))</f>
        <v/>
      </c>
      <c r="N632" s="21">
        <f>SUMPRODUCT(MAX((Брони!$B$2:$B$500=B632)*((Брони!$F$2:$F$500="Выдана")+(Брони!$F$2:$F$500="Возвращена"))*(Брони!$D$2:$D$500&lt;=A632)*Брони!$D$2:$D$500))</f>
        <v/>
      </c>
      <c r="O632" s="19">
        <f>SUMPRODUCT((Брони!$B$2:$B$500=B632)*(Брони!$D$2:$D$500=N632)*((((Брони!$F$2:$F$500="Выдана")*NOW())+((Брони!$F$2:$F$500="Возвращена")*Брони!$E$2:$E$500))&gt;=A632)*Брони!$A$2:$A$500)</f>
        <v/>
      </c>
      <c r="P632" s="19">
        <f>SUMPRODUCT((Брони!$B$2:$B$500=B632)*(Брони!$D$2:$D$500=N632)*(((Брони!$F$2:$F$500="Выдана")+(Брони!$F$2:$F$500="Возвращена"))))</f>
        <v/>
      </c>
      <c r="Q632" s="10" t="n"/>
    </row>
    <row r="633">
      <c r="A633" s="11" t="n"/>
      <c r="B633" s="10" t="n"/>
      <c r="C633" s="10" t="n"/>
      <c r="D633" s="14" t="n"/>
      <c r="E633" s="10" t="n"/>
      <c r="F633" s="20">
        <f>IF(OR(A633="",B633=""),"",IF(OR(NOT(ISNUMBER(A633)),ISERROR(N633+O633+P633)),"Проверьте даты",IF(AND(N633&gt;0,P633&gt;1),"Дубль",IF(AND(N633&gt;0,O633&gt;0),O633,"Вне аренды"))))</f>
        <v/>
      </c>
      <c r="G633" s="12">
        <f>IF(ISNUMBER(F633),IFERROR(INDEX(Брони!$C$2:$C$500,MATCH(F633,Брони!$A$2:$A$500,0)),""),"")</f>
        <v/>
      </c>
      <c r="H633" s="10" t="n"/>
      <c r="I633" s="18" t="n"/>
      <c r="J633" s="12">
        <f>IF(AND(ISNUMBER(F633),I633&lt;&gt;""),IFERROR(IF(AND(INDEX(Брони!$F$2:$F$500,MATCH(F633,Брони!$A$2:$A$500,0))="Возвращена",I633&gt;INDEX(Брони!$E$2:$E$500,MATCH(F633,Брони!$A$2:$A$500,0))),"Да",""),""),"")</f>
        <v/>
      </c>
      <c r="K633" s="10" t="n"/>
      <c r="L633" s="14" t="n"/>
      <c r="M633" s="15">
        <f>IF(OR(A633="",B633=""),"",IF(AND(ISNUMBER(F633),H633&lt;&gt;"Компания"),D633+L633,0))</f>
        <v/>
      </c>
      <c r="N633" s="21">
        <f>SUMPRODUCT(MAX((Брони!$B$2:$B$500=B633)*((Брони!$F$2:$F$500="Выдана")+(Брони!$F$2:$F$500="Возвращена"))*(Брони!$D$2:$D$500&lt;=A633)*Брони!$D$2:$D$500))</f>
        <v/>
      </c>
      <c r="O633" s="19">
        <f>SUMPRODUCT((Брони!$B$2:$B$500=B633)*(Брони!$D$2:$D$500=N633)*((((Брони!$F$2:$F$500="Выдана")*NOW())+((Брони!$F$2:$F$500="Возвращена")*Брони!$E$2:$E$500))&gt;=A633)*Брони!$A$2:$A$500)</f>
        <v/>
      </c>
      <c r="P633" s="19">
        <f>SUMPRODUCT((Брони!$B$2:$B$500=B633)*(Брони!$D$2:$D$500=N633)*(((Брони!$F$2:$F$500="Выдана")+(Брони!$F$2:$F$500="Возвращена"))))</f>
        <v/>
      </c>
      <c r="Q633" s="10" t="n"/>
    </row>
    <row r="634">
      <c r="A634" s="11" t="n"/>
      <c r="B634" s="10" t="n"/>
      <c r="C634" s="10" t="n"/>
      <c r="D634" s="14" t="n"/>
      <c r="E634" s="10" t="n"/>
      <c r="F634" s="20">
        <f>IF(OR(A634="",B634=""),"",IF(OR(NOT(ISNUMBER(A634)),ISERROR(N634+O634+P634)),"Проверьте даты",IF(AND(N634&gt;0,P634&gt;1),"Дубль",IF(AND(N634&gt;0,O634&gt;0),O634,"Вне аренды"))))</f>
        <v/>
      </c>
      <c r="G634" s="12">
        <f>IF(ISNUMBER(F634),IFERROR(INDEX(Брони!$C$2:$C$500,MATCH(F634,Брони!$A$2:$A$500,0)),""),"")</f>
        <v/>
      </c>
      <c r="H634" s="10" t="n"/>
      <c r="I634" s="18" t="n"/>
      <c r="J634" s="12">
        <f>IF(AND(ISNUMBER(F634),I634&lt;&gt;""),IFERROR(IF(AND(INDEX(Брони!$F$2:$F$500,MATCH(F634,Брони!$A$2:$A$500,0))="Возвращена",I634&gt;INDEX(Брони!$E$2:$E$500,MATCH(F634,Брони!$A$2:$A$500,0))),"Да",""),""),"")</f>
        <v/>
      </c>
      <c r="K634" s="10" t="n"/>
      <c r="L634" s="14" t="n"/>
      <c r="M634" s="15">
        <f>IF(OR(A634="",B634=""),"",IF(AND(ISNUMBER(F634),H634&lt;&gt;"Компания"),D634+L634,0))</f>
        <v/>
      </c>
      <c r="N634" s="21">
        <f>SUMPRODUCT(MAX((Брони!$B$2:$B$500=B634)*((Брони!$F$2:$F$500="Выдана")+(Брони!$F$2:$F$500="Возвращена"))*(Брони!$D$2:$D$500&lt;=A634)*Брони!$D$2:$D$500))</f>
        <v/>
      </c>
      <c r="O634" s="19">
        <f>SUMPRODUCT((Брони!$B$2:$B$500=B634)*(Брони!$D$2:$D$500=N634)*((((Брони!$F$2:$F$500="Выдана")*NOW())+((Брони!$F$2:$F$500="Возвращена")*Брони!$E$2:$E$500))&gt;=A634)*Брони!$A$2:$A$500)</f>
        <v/>
      </c>
      <c r="P634" s="19">
        <f>SUMPRODUCT((Брони!$B$2:$B$500=B634)*(Брони!$D$2:$D$500=N634)*(((Брони!$F$2:$F$500="Выдана")+(Брони!$F$2:$F$500="Возвращена"))))</f>
        <v/>
      </c>
      <c r="Q634" s="10" t="n"/>
    </row>
    <row r="635">
      <c r="A635" s="11" t="n"/>
      <c r="B635" s="10" t="n"/>
      <c r="C635" s="10" t="n"/>
      <c r="D635" s="14" t="n"/>
      <c r="E635" s="10" t="n"/>
      <c r="F635" s="20">
        <f>IF(OR(A635="",B635=""),"",IF(OR(NOT(ISNUMBER(A635)),ISERROR(N635+O635+P635)),"Проверьте даты",IF(AND(N635&gt;0,P635&gt;1),"Дубль",IF(AND(N635&gt;0,O635&gt;0),O635,"Вне аренды"))))</f>
        <v/>
      </c>
      <c r="G635" s="12">
        <f>IF(ISNUMBER(F635),IFERROR(INDEX(Брони!$C$2:$C$500,MATCH(F635,Брони!$A$2:$A$500,0)),""),"")</f>
        <v/>
      </c>
      <c r="H635" s="10" t="n"/>
      <c r="I635" s="18" t="n"/>
      <c r="J635" s="12">
        <f>IF(AND(ISNUMBER(F635),I635&lt;&gt;""),IFERROR(IF(AND(INDEX(Брони!$F$2:$F$500,MATCH(F635,Брони!$A$2:$A$500,0))="Возвращена",I635&gt;INDEX(Брони!$E$2:$E$500,MATCH(F635,Брони!$A$2:$A$500,0))),"Да",""),""),"")</f>
        <v/>
      </c>
      <c r="K635" s="10" t="n"/>
      <c r="L635" s="14" t="n"/>
      <c r="M635" s="15">
        <f>IF(OR(A635="",B635=""),"",IF(AND(ISNUMBER(F635),H635&lt;&gt;"Компания"),D635+L635,0))</f>
        <v/>
      </c>
      <c r="N635" s="21">
        <f>SUMPRODUCT(MAX((Брони!$B$2:$B$500=B635)*((Брони!$F$2:$F$500="Выдана")+(Брони!$F$2:$F$500="Возвращена"))*(Брони!$D$2:$D$500&lt;=A635)*Брони!$D$2:$D$500))</f>
        <v/>
      </c>
      <c r="O635" s="19">
        <f>SUMPRODUCT((Брони!$B$2:$B$500=B635)*(Брони!$D$2:$D$500=N635)*((((Брони!$F$2:$F$500="Выдана")*NOW())+((Брони!$F$2:$F$500="Возвращена")*Брони!$E$2:$E$500))&gt;=A635)*Брони!$A$2:$A$500)</f>
        <v/>
      </c>
      <c r="P635" s="19">
        <f>SUMPRODUCT((Брони!$B$2:$B$500=B635)*(Брони!$D$2:$D$500=N635)*(((Брони!$F$2:$F$500="Выдана")+(Брони!$F$2:$F$500="Возвращена"))))</f>
        <v/>
      </c>
      <c r="Q635" s="10" t="n"/>
    </row>
    <row r="636">
      <c r="A636" s="11" t="n"/>
      <c r="B636" s="10" t="n"/>
      <c r="C636" s="10" t="n"/>
      <c r="D636" s="14" t="n"/>
      <c r="E636" s="10" t="n"/>
      <c r="F636" s="20">
        <f>IF(OR(A636="",B636=""),"",IF(OR(NOT(ISNUMBER(A636)),ISERROR(N636+O636+P636)),"Проверьте даты",IF(AND(N636&gt;0,P636&gt;1),"Дубль",IF(AND(N636&gt;0,O636&gt;0),O636,"Вне аренды"))))</f>
        <v/>
      </c>
      <c r="G636" s="12">
        <f>IF(ISNUMBER(F636),IFERROR(INDEX(Брони!$C$2:$C$500,MATCH(F636,Брони!$A$2:$A$500,0)),""),"")</f>
        <v/>
      </c>
      <c r="H636" s="10" t="n"/>
      <c r="I636" s="18" t="n"/>
      <c r="J636" s="12">
        <f>IF(AND(ISNUMBER(F636),I636&lt;&gt;""),IFERROR(IF(AND(INDEX(Брони!$F$2:$F$500,MATCH(F636,Брони!$A$2:$A$500,0))="Возвращена",I636&gt;INDEX(Брони!$E$2:$E$500,MATCH(F636,Брони!$A$2:$A$500,0))),"Да",""),""),"")</f>
        <v/>
      </c>
      <c r="K636" s="10" t="n"/>
      <c r="L636" s="14" t="n"/>
      <c r="M636" s="15">
        <f>IF(OR(A636="",B636=""),"",IF(AND(ISNUMBER(F636),H636&lt;&gt;"Компания"),D636+L636,0))</f>
        <v/>
      </c>
      <c r="N636" s="21">
        <f>SUMPRODUCT(MAX((Брони!$B$2:$B$500=B636)*((Брони!$F$2:$F$500="Выдана")+(Брони!$F$2:$F$500="Возвращена"))*(Брони!$D$2:$D$500&lt;=A636)*Брони!$D$2:$D$500))</f>
        <v/>
      </c>
      <c r="O636" s="19">
        <f>SUMPRODUCT((Брони!$B$2:$B$500=B636)*(Брони!$D$2:$D$500=N636)*((((Брони!$F$2:$F$500="Выдана")*NOW())+((Брони!$F$2:$F$500="Возвращена")*Брони!$E$2:$E$500))&gt;=A636)*Брони!$A$2:$A$500)</f>
        <v/>
      </c>
      <c r="P636" s="19">
        <f>SUMPRODUCT((Брони!$B$2:$B$500=B636)*(Брони!$D$2:$D$500=N636)*(((Брони!$F$2:$F$500="Выдана")+(Брони!$F$2:$F$500="Возвращена"))))</f>
        <v/>
      </c>
      <c r="Q636" s="10" t="n"/>
    </row>
    <row r="637">
      <c r="A637" s="11" t="n"/>
      <c r="B637" s="10" t="n"/>
      <c r="C637" s="10" t="n"/>
      <c r="D637" s="14" t="n"/>
      <c r="E637" s="10" t="n"/>
      <c r="F637" s="20">
        <f>IF(OR(A637="",B637=""),"",IF(OR(NOT(ISNUMBER(A637)),ISERROR(N637+O637+P637)),"Проверьте даты",IF(AND(N637&gt;0,P637&gt;1),"Дубль",IF(AND(N637&gt;0,O637&gt;0),O637,"Вне аренды"))))</f>
        <v/>
      </c>
      <c r="G637" s="12">
        <f>IF(ISNUMBER(F637),IFERROR(INDEX(Брони!$C$2:$C$500,MATCH(F637,Брони!$A$2:$A$500,0)),""),"")</f>
        <v/>
      </c>
      <c r="H637" s="10" t="n"/>
      <c r="I637" s="18" t="n"/>
      <c r="J637" s="12">
        <f>IF(AND(ISNUMBER(F637),I637&lt;&gt;""),IFERROR(IF(AND(INDEX(Брони!$F$2:$F$500,MATCH(F637,Брони!$A$2:$A$500,0))="Возвращена",I637&gt;INDEX(Брони!$E$2:$E$500,MATCH(F637,Брони!$A$2:$A$500,0))),"Да",""),""),"")</f>
        <v/>
      </c>
      <c r="K637" s="10" t="n"/>
      <c r="L637" s="14" t="n"/>
      <c r="M637" s="15">
        <f>IF(OR(A637="",B637=""),"",IF(AND(ISNUMBER(F637),H637&lt;&gt;"Компания"),D637+L637,0))</f>
        <v/>
      </c>
      <c r="N637" s="21">
        <f>SUMPRODUCT(MAX((Брони!$B$2:$B$500=B637)*((Брони!$F$2:$F$500="Выдана")+(Брони!$F$2:$F$500="Возвращена"))*(Брони!$D$2:$D$500&lt;=A637)*Брони!$D$2:$D$500))</f>
        <v/>
      </c>
      <c r="O637" s="19">
        <f>SUMPRODUCT((Брони!$B$2:$B$500=B637)*(Брони!$D$2:$D$500=N637)*((((Брони!$F$2:$F$500="Выдана")*NOW())+((Брони!$F$2:$F$500="Возвращена")*Брони!$E$2:$E$500))&gt;=A637)*Брони!$A$2:$A$500)</f>
        <v/>
      </c>
      <c r="P637" s="19">
        <f>SUMPRODUCT((Брони!$B$2:$B$500=B637)*(Брони!$D$2:$D$500=N637)*(((Брони!$F$2:$F$500="Выдана")+(Брони!$F$2:$F$500="Возвращена"))))</f>
        <v/>
      </c>
      <c r="Q637" s="10" t="n"/>
    </row>
    <row r="638">
      <c r="A638" s="11" t="n"/>
      <c r="B638" s="10" t="n"/>
      <c r="C638" s="10" t="n"/>
      <c r="D638" s="14" t="n"/>
      <c r="E638" s="10" t="n"/>
      <c r="F638" s="20">
        <f>IF(OR(A638="",B638=""),"",IF(OR(NOT(ISNUMBER(A638)),ISERROR(N638+O638+P638)),"Проверьте даты",IF(AND(N638&gt;0,P638&gt;1),"Дубль",IF(AND(N638&gt;0,O638&gt;0),O638,"Вне аренды"))))</f>
        <v/>
      </c>
      <c r="G638" s="12">
        <f>IF(ISNUMBER(F638),IFERROR(INDEX(Брони!$C$2:$C$500,MATCH(F638,Брони!$A$2:$A$500,0)),""),"")</f>
        <v/>
      </c>
      <c r="H638" s="10" t="n"/>
      <c r="I638" s="18" t="n"/>
      <c r="J638" s="12">
        <f>IF(AND(ISNUMBER(F638),I638&lt;&gt;""),IFERROR(IF(AND(INDEX(Брони!$F$2:$F$500,MATCH(F638,Брони!$A$2:$A$500,0))="Возвращена",I638&gt;INDEX(Брони!$E$2:$E$500,MATCH(F638,Брони!$A$2:$A$500,0))),"Да",""),""),"")</f>
        <v/>
      </c>
      <c r="K638" s="10" t="n"/>
      <c r="L638" s="14" t="n"/>
      <c r="M638" s="15">
        <f>IF(OR(A638="",B638=""),"",IF(AND(ISNUMBER(F638),H638&lt;&gt;"Компания"),D638+L638,0))</f>
        <v/>
      </c>
      <c r="N638" s="21">
        <f>SUMPRODUCT(MAX((Брони!$B$2:$B$500=B638)*((Брони!$F$2:$F$500="Выдана")+(Брони!$F$2:$F$500="Возвращена"))*(Брони!$D$2:$D$500&lt;=A638)*Брони!$D$2:$D$500))</f>
        <v/>
      </c>
      <c r="O638" s="19">
        <f>SUMPRODUCT((Брони!$B$2:$B$500=B638)*(Брони!$D$2:$D$500=N638)*((((Брони!$F$2:$F$500="Выдана")*NOW())+((Брони!$F$2:$F$500="Возвращена")*Брони!$E$2:$E$500))&gt;=A638)*Брони!$A$2:$A$500)</f>
        <v/>
      </c>
      <c r="P638" s="19">
        <f>SUMPRODUCT((Брони!$B$2:$B$500=B638)*(Брони!$D$2:$D$500=N638)*(((Брони!$F$2:$F$500="Выдана")+(Брони!$F$2:$F$500="Возвращена"))))</f>
        <v/>
      </c>
      <c r="Q638" s="10" t="n"/>
    </row>
    <row r="639">
      <c r="A639" s="11" t="n"/>
      <c r="B639" s="10" t="n"/>
      <c r="C639" s="10" t="n"/>
      <c r="D639" s="14" t="n"/>
      <c r="E639" s="10" t="n"/>
      <c r="F639" s="20">
        <f>IF(OR(A639="",B639=""),"",IF(OR(NOT(ISNUMBER(A639)),ISERROR(N639+O639+P639)),"Проверьте даты",IF(AND(N639&gt;0,P639&gt;1),"Дубль",IF(AND(N639&gt;0,O639&gt;0),O639,"Вне аренды"))))</f>
        <v/>
      </c>
      <c r="G639" s="12">
        <f>IF(ISNUMBER(F639),IFERROR(INDEX(Брони!$C$2:$C$500,MATCH(F639,Брони!$A$2:$A$500,0)),""),"")</f>
        <v/>
      </c>
      <c r="H639" s="10" t="n"/>
      <c r="I639" s="18" t="n"/>
      <c r="J639" s="12">
        <f>IF(AND(ISNUMBER(F639),I639&lt;&gt;""),IFERROR(IF(AND(INDEX(Брони!$F$2:$F$500,MATCH(F639,Брони!$A$2:$A$500,0))="Возвращена",I639&gt;INDEX(Брони!$E$2:$E$500,MATCH(F639,Брони!$A$2:$A$500,0))),"Да",""),""),"")</f>
        <v/>
      </c>
      <c r="K639" s="10" t="n"/>
      <c r="L639" s="14" t="n"/>
      <c r="M639" s="15">
        <f>IF(OR(A639="",B639=""),"",IF(AND(ISNUMBER(F639),H639&lt;&gt;"Компания"),D639+L639,0))</f>
        <v/>
      </c>
      <c r="N639" s="21">
        <f>SUMPRODUCT(MAX((Брони!$B$2:$B$500=B639)*((Брони!$F$2:$F$500="Выдана")+(Брони!$F$2:$F$500="Возвращена"))*(Брони!$D$2:$D$500&lt;=A639)*Брони!$D$2:$D$500))</f>
        <v/>
      </c>
      <c r="O639" s="19">
        <f>SUMPRODUCT((Брони!$B$2:$B$500=B639)*(Брони!$D$2:$D$500=N639)*((((Брони!$F$2:$F$500="Выдана")*NOW())+((Брони!$F$2:$F$500="Возвращена")*Брони!$E$2:$E$500))&gt;=A639)*Брони!$A$2:$A$500)</f>
        <v/>
      </c>
      <c r="P639" s="19">
        <f>SUMPRODUCT((Брони!$B$2:$B$500=B639)*(Брони!$D$2:$D$500=N639)*(((Брони!$F$2:$F$500="Выдана")+(Брони!$F$2:$F$500="Возвращена"))))</f>
        <v/>
      </c>
      <c r="Q639" s="10" t="n"/>
    </row>
    <row r="640">
      <c r="A640" s="11" t="n"/>
      <c r="B640" s="10" t="n"/>
      <c r="C640" s="10" t="n"/>
      <c r="D640" s="14" t="n"/>
      <c r="E640" s="10" t="n"/>
      <c r="F640" s="20">
        <f>IF(OR(A640="",B640=""),"",IF(OR(NOT(ISNUMBER(A640)),ISERROR(N640+O640+P640)),"Проверьте даты",IF(AND(N640&gt;0,P640&gt;1),"Дубль",IF(AND(N640&gt;0,O640&gt;0),O640,"Вне аренды"))))</f>
        <v/>
      </c>
      <c r="G640" s="12">
        <f>IF(ISNUMBER(F640),IFERROR(INDEX(Брони!$C$2:$C$500,MATCH(F640,Брони!$A$2:$A$500,0)),""),"")</f>
        <v/>
      </c>
      <c r="H640" s="10" t="n"/>
      <c r="I640" s="18" t="n"/>
      <c r="J640" s="12">
        <f>IF(AND(ISNUMBER(F640),I640&lt;&gt;""),IFERROR(IF(AND(INDEX(Брони!$F$2:$F$500,MATCH(F640,Брони!$A$2:$A$500,0))="Возвращена",I640&gt;INDEX(Брони!$E$2:$E$500,MATCH(F640,Брони!$A$2:$A$500,0))),"Да",""),""),"")</f>
        <v/>
      </c>
      <c r="K640" s="10" t="n"/>
      <c r="L640" s="14" t="n"/>
      <c r="M640" s="15">
        <f>IF(OR(A640="",B640=""),"",IF(AND(ISNUMBER(F640),H640&lt;&gt;"Компания"),D640+L640,0))</f>
        <v/>
      </c>
      <c r="N640" s="21">
        <f>SUMPRODUCT(MAX((Брони!$B$2:$B$500=B640)*((Брони!$F$2:$F$500="Выдана")+(Брони!$F$2:$F$500="Возвращена"))*(Брони!$D$2:$D$500&lt;=A640)*Брони!$D$2:$D$500))</f>
        <v/>
      </c>
      <c r="O640" s="19">
        <f>SUMPRODUCT((Брони!$B$2:$B$500=B640)*(Брони!$D$2:$D$500=N640)*((((Брони!$F$2:$F$500="Выдана")*NOW())+((Брони!$F$2:$F$500="Возвращена")*Брони!$E$2:$E$500))&gt;=A640)*Брони!$A$2:$A$500)</f>
        <v/>
      </c>
      <c r="P640" s="19">
        <f>SUMPRODUCT((Брони!$B$2:$B$500=B640)*(Брони!$D$2:$D$500=N640)*(((Брони!$F$2:$F$500="Выдана")+(Брони!$F$2:$F$500="Возвращена"))))</f>
        <v/>
      </c>
      <c r="Q640" s="10" t="n"/>
    </row>
    <row r="641">
      <c r="A641" s="11" t="n"/>
      <c r="B641" s="10" t="n"/>
      <c r="C641" s="10" t="n"/>
      <c r="D641" s="14" t="n"/>
      <c r="E641" s="10" t="n"/>
      <c r="F641" s="20">
        <f>IF(OR(A641="",B641=""),"",IF(OR(NOT(ISNUMBER(A641)),ISERROR(N641+O641+P641)),"Проверьте даты",IF(AND(N641&gt;0,P641&gt;1),"Дубль",IF(AND(N641&gt;0,O641&gt;0),O641,"Вне аренды"))))</f>
        <v/>
      </c>
      <c r="G641" s="12">
        <f>IF(ISNUMBER(F641),IFERROR(INDEX(Брони!$C$2:$C$500,MATCH(F641,Брони!$A$2:$A$500,0)),""),"")</f>
        <v/>
      </c>
      <c r="H641" s="10" t="n"/>
      <c r="I641" s="18" t="n"/>
      <c r="J641" s="12">
        <f>IF(AND(ISNUMBER(F641),I641&lt;&gt;""),IFERROR(IF(AND(INDEX(Брони!$F$2:$F$500,MATCH(F641,Брони!$A$2:$A$500,0))="Возвращена",I641&gt;INDEX(Брони!$E$2:$E$500,MATCH(F641,Брони!$A$2:$A$500,0))),"Да",""),""),"")</f>
        <v/>
      </c>
      <c r="K641" s="10" t="n"/>
      <c r="L641" s="14" t="n"/>
      <c r="M641" s="15">
        <f>IF(OR(A641="",B641=""),"",IF(AND(ISNUMBER(F641),H641&lt;&gt;"Компания"),D641+L641,0))</f>
        <v/>
      </c>
      <c r="N641" s="21">
        <f>SUMPRODUCT(MAX((Брони!$B$2:$B$500=B641)*((Брони!$F$2:$F$500="Выдана")+(Брони!$F$2:$F$500="Возвращена"))*(Брони!$D$2:$D$500&lt;=A641)*Брони!$D$2:$D$500))</f>
        <v/>
      </c>
      <c r="O641" s="19">
        <f>SUMPRODUCT((Брони!$B$2:$B$500=B641)*(Брони!$D$2:$D$500=N641)*((((Брони!$F$2:$F$500="Выдана")*NOW())+((Брони!$F$2:$F$500="Возвращена")*Брони!$E$2:$E$500))&gt;=A641)*Брони!$A$2:$A$500)</f>
        <v/>
      </c>
      <c r="P641" s="19">
        <f>SUMPRODUCT((Брони!$B$2:$B$500=B641)*(Брони!$D$2:$D$500=N641)*(((Брони!$F$2:$F$500="Выдана")+(Брони!$F$2:$F$500="Возвращена"))))</f>
        <v/>
      </c>
      <c r="Q641" s="10" t="n"/>
    </row>
    <row r="642">
      <c r="A642" s="11" t="n"/>
      <c r="B642" s="10" t="n"/>
      <c r="C642" s="10" t="n"/>
      <c r="D642" s="14" t="n"/>
      <c r="E642" s="10" t="n"/>
      <c r="F642" s="20">
        <f>IF(OR(A642="",B642=""),"",IF(OR(NOT(ISNUMBER(A642)),ISERROR(N642+O642+P642)),"Проверьте даты",IF(AND(N642&gt;0,P642&gt;1),"Дубль",IF(AND(N642&gt;0,O642&gt;0),O642,"Вне аренды"))))</f>
        <v/>
      </c>
      <c r="G642" s="12">
        <f>IF(ISNUMBER(F642),IFERROR(INDEX(Брони!$C$2:$C$500,MATCH(F642,Брони!$A$2:$A$500,0)),""),"")</f>
        <v/>
      </c>
      <c r="H642" s="10" t="n"/>
      <c r="I642" s="18" t="n"/>
      <c r="J642" s="12">
        <f>IF(AND(ISNUMBER(F642),I642&lt;&gt;""),IFERROR(IF(AND(INDEX(Брони!$F$2:$F$500,MATCH(F642,Брони!$A$2:$A$500,0))="Возвращена",I642&gt;INDEX(Брони!$E$2:$E$500,MATCH(F642,Брони!$A$2:$A$500,0))),"Да",""),""),"")</f>
        <v/>
      </c>
      <c r="K642" s="10" t="n"/>
      <c r="L642" s="14" t="n"/>
      <c r="M642" s="15">
        <f>IF(OR(A642="",B642=""),"",IF(AND(ISNUMBER(F642),H642&lt;&gt;"Компания"),D642+L642,0))</f>
        <v/>
      </c>
      <c r="N642" s="21">
        <f>SUMPRODUCT(MAX((Брони!$B$2:$B$500=B642)*((Брони!$F$2:$F$500="Выдана")+(Брони!$F$2:$F$500="Возвращена"))*(Брони!$D$2:$D$500&lt;=A642)*Брони!$D$2:$D$500))</f>
        <v/>
      </c>
      <c r="O642" s="19">
        <f>SUMPRODUCT((Брони!$B$2:$B$500=B642)*(Брони!$D$2:$D$500=N642)*((((Брони!$F$2:$F$500="Выдана")*NOW())+((Брони!$F$2:$F$500="Возвращена")*Брони!$E$2:$E$500))&gt;=A642)*Брони!$A$2:$A$500)</f>
        <v/>
      </c>
      <c r="P642" s="19">
        <f>SUMPRODUCT((Брони!$B$2:$B$500=B642)*(Брони!$D$2:$D$500=N642)*(((Брони!$F$2:$F$500="Выдана")+(Брони!$F$2:$F$500="Возвращена"))))</f>
        <v/>
      </c>
      <c r="Q642" s="10" t="n"/>
    </row>
    <row r="643">
      <c r="A643" s="11" t="n"/>
      <c r="B643" s="10" t="n"/>
      <c r="C643" s="10" t="n"/>
      <c r="D643" s="14" t="n"/>
      <c r="E643" s="10" t="n"/>
      <c r="F643" s="20">
        <f>IF(OR(A643="",B643=""),"",IF(OR(NOT(ISNUMBER(A643)),ISERROR(N643+O643+P643)),"Проверьте даты",IF(AND(N643&gt;0,P643&gt;1),"Дубль",IF(AND(N643&gt;0,O643&gt;0),O643,"Вне аренды"))))</f>
        <v/>
      </c>
      <c r="G643" s="12">
        <f>IF(ISNUMBER(F643),IFERROR(INDEX(Брони!$C$2:$C$500,MATCH(F643,Брони!$A$2:$A$500,0)),""),"")</f>
        <v/>
      </c>
      <c r="H643" s="10" t="n"/>
      <c r="I643" s="18" t="n"/>
      <c r="J643" s="12">
        <f>IF(AND(ISNUMBER(F643),I643&lt;&gt;""),IFERROR(IF(AND(INDEX(Брони!$F$2:$F$500,MATCH(F643,Брони!$A$2:$A$500,0))="Возвращена",I643&gt;INDEX(Брони!$E$2:$E$500,MATCH(F643,Брони!$A$2:$A$500,0))),"Да",""),""),"")</f>
        <v/>
      </c>
      <c r="K643" s="10" t="n"/>
      <c r="L643" s="14" t="n"/>
      <c r="M643" s="15">
        <f>IF(OR(A643="",B643=""),"",IF(AND(ISNUMBER(F643),H643&lt;&gt;"Компания"),D643+L643,0))</f>
        <v/>
      </c>
      <c r="N643" s="21">
        <f>SUMPRODUCT(MAX((Брони!$B$2:$B$500=B643)*((Брони!$F$2:$F$500="Выдана")+(Брони!$F$2:$F$500="Возвращена"))*(Брони!$D$2:$D$500&lt;=A643)*Брони!$D$2:$D$500))</f>
        <v/>
      </c>
      <c r="O643" s="19">
        <f>SUMPRODUCT((Брони!$B$2:$B$500=B643)*(Брони!$D$2:$D$500=N643)*((((Брони!$F$2:$F$500="Выдана")*NOW())+((Брони!$F$2:$F$500="Возвращена")*Брони!$E$2:$E$500))&gt;=A643)*Брони!$A$2:$A$500)</f>
        <v/>
      </c>
      <c r="P643" s="19">
        <f>SUMPRODUCT((Брони!$B$2:$B$500=B643)*(Брони!$D$2:$D$500=N643)*(((Брони!$F$2:$F$500="Выдана")+(Брони!$F$2:$F$500="Возвращена"))))</f>
        <v/>
      </c>
      <c r="Q643" s="10" t="n"/>
    </row>
    <row r="644">
      <c r="A644" s="11" t="n"/>
      <c r="B644" s="10" t="n"/>
      <c r="C644" s="10" t="n"/>
      <c r="D644" s="14" t="n"/>
      <c r="E644" s="10" t="n"/>
      <c r="F644" s="20">
        <f>IF(OR(A644="",B644=""),"",IF(OR(NOT(ISNUMBER(A644)),ISERROR(N644+O644+P644)),"Проверьте даты",IF(AND(N644&gt;0,P644&gt;1),"Дубль",IF(AND(N644&gt;0,O644&gt;0),O644,"Вне аренды"))))</f>
        <v/>
      </c>
      <c r="G644" s="12">
        <f>IF(ISNUMBER(F644),IFERROR(INDEX(Брони!$C$2:$C$500,MATCH(F644,Брони!$A$2:$A$500,0)),""),"")</f>
        <v/>
      </c>
      <c r="H644" s="10" t="n"/>
      <c r="I644" s="18" t="n"/>
      <c r="J644" s="12">
        <f>IF(AND(ISNUMBER(F644),I644&lt;&gt;""),IFERROR(IF(AND(INDEX(Брони!$F$2:$F$500,MATCH(F644,Брони!$A$2:$A$500,0))="Возвращена",I644&gt;INDEX(Брони!$E$2:$E$500,MATCH(F644,Брони!$A$2:$A$500,0))),"Да",""),""),"")</f>
        <v/>
      </c>
      <c r="K644" s="10" t="n"/>
      <c r="L644" s="14" t="n"/>
      <c r="M644" s="15">
        <f>IF(OR(A644="",B644=""),"",IF(AND(ISNUMBER(F644),H644&lt;&gt;"Компания"),D644+L644,0))</f>
        <v/>
      </c>
      <c r="N644" s="21">
        <f>SUMPRODUCT(MAX((Брони!$B$2:$B$500=B644)*((Брони!$F$2:$F$500="Выдана")+(Брони!$F$2:$F$500="Возвращена"))*(Брони!$D$2:$D$500&lt;=A644)*Брони!$D$2:$D$500))</f>
        <v/>
      </c>
      <c r="O644" s="19">
        <f>SUMPRODUCT((Брони!$B$2:$B$500=B644)*(Брони!$D$2:$D$500=N644)*((((Брони!$F$2:$F$500="Выдана")*NOW())+((Брони!$F$2:$F$500="Возвращена")*Брони!$E$2:$E$500))&gt;=A644)*Брони!$A$2:$A$500)</f>
        <v/>
      </c>
      <c r="P644" s="19">
        <f>SUMPRODUCT((Брони!$B$2:$B$500=B644)*(Брони!$D$2:$D$500=N644)*(((Брони!$F$2:$F$500="Выдана")+(Брони!$F$2:$F$500="Возвращена"))))</f>
        <v/>
      </c>
      <c r="Q644" s="10" t="n"/>
    </row>
    <row r="645">
      <c r="A645" s="11" t="n"/>
      <c r="B645" s="10" t="n"/>
      <c r="C645" s="10" t="n"/>
      <c r="D645" s="14" t="n"/>
      <c r="E645" s="10" t="n"/>
      <c r="F645" s="20">
        <f>IF(OR(A645="",B645=""),"",IF(OR(NOT(ISNUMBER(A645)),ISERROR(N645+O645+P645)),"Проверьте даты",IF(AND(N645&gt;0,P645&gt;1),"Дубль",IF(AND(N645&gt;0,O645&gt;0),O645,"Вне аренды"))))</f>
        <v/>
      </c>
      <c r="G645" s="12">
        <f>IF(ISNUMBER(F645),IFERROR(INDEX(Брони!$C$2:$C$500,MATCH(F645,Брони!$A$2:$A$500,0)),""),"")</f>
        <v/>
      </c>
      <c r="H645" s="10" t="n"/>
      <c r="I645" s="18" t="n"/>
      <c r="J645" s="12">
        <f>IF(AND(ISNUMBER(F645),I645&lt;&gt;""),IFERROR(IF(AND(INDEX(Брони!$F$2:$F$500,MATCH(F645,Брони!$A$2:$A$500,0))="Возвращена",I645&gt;INDEX(Брони!$E$2:$E$500,MATCH(F645,Брони!$A$2:$A$500,0))),"Да",""),""),"")</f>
        <v/>
      </c>
      <c r="K645" s="10" t="n"/>
      <c r="L645" s="14" t="n"/>
      <c r="M645" s="15">
        <f>IF(OR(A645="",B645=""),"",IF(AND(ISNUMBER(F645),H645&lt;&gt;"Компания"),D645+L645,0))</f>
        <v/>
      </c>
      <c r="N645" s="21">
        <f>SUMPRODUCT(MAX((Брони!$B$2:$B$500=B645)*((Брони!$F$2:$F$500="Выдана")+(Брони!$F$2:$F$500="Возвращена"))*(Брони!$D$2:$D$500&lt;=A645)*Брони!$D$2:$D$500))</f>
        <v/>
      </c>
      <c r="O645" s="19">
        <f>SUMPRODUCT((Брони!$B$2:$B$500=B645)*(Брони!$D$2:$D$500=N645)*((((Брони!$F$2:$F$500="Выдана")*NOW())+((Брони!$F$2:$F$500="Возвращена")*Брони!$E$2:$E$500))&gt;=A645)*Брони!$A$2:$A$500)</f>
        <v/>
      </c>
      <c r="P645" s="19">
        <f>SUMPRODUCT((Брони!$B$2:$B$500=B645)*(Брони!$D$2:$D$500=N645)*(((Брони!$F$2:$F$500="Выдана")+(Брони!$F$2:$F$500="Возвращена"))))</f>
        <v/>
      </c>
      <c r="Q645" s="10" t="n"/>
    </row>
    <row r="646">
      <c r="A646" s="11" t="n"/>
      <c r="B646" s="10" t="n"/>
      <c r="C646" s="10" t="n"/>
      <c r="D646" s="14" t="n"/>
      <c r="E646" s="10" t="n"/>
      <c r="F646" s="20">
        <f>IF(OR(A646="",B646=""),"",IF(OR(NOT(ISNUMBER(A646)),ISERROR(N646+O646+P646)),"Проверьте даты",IF(AND(N646&gt;0,P646&gt;1),"Дубль",IF(AND(N646&gt;0,O646&gt;0),O646,"Вне аренды"))))</f>
        <v/>
      </c>
      <c r="G646" s="12">
        <f>IF(ISNUMBER(F646),IFERROR(INDEX(Брони!$C$2:$C$500,MATCH(F646,Брони!$A$2:$A$500,0)),""),"")</f>
        <v/>
      </c>
      <c r="H646" s="10" t="n"/>
      <c r="I646" s="18" t="n"/>
      <c r="J646" s="12">
        <f>IF(AND(ISNUMBER(F646),I646&lt;&gt;""),IFERROR(IF(AND(INDEX(Брони!$F$2:$F$500,MATCH(F646,Брони!$A$2:$A$500,0))="Возвращена",I646&gt;INDEX(Брони!$E$2:$E$500,MATCH(F646,Брони!$A$2:$A$500,0))),"Да",""),""),"")</f>
        <v/>
      </c>
      <c r="K646" s="10" t="n"/>
      <c r="L646" s="14" t="n"/>
      <c r="M646" s="15">
        <f>IF(OR(A646="",B646=""),"",IF(AND(ISNUMBER(F646),H646&lt;&gt;"Компания"),D646+L646,0))</f>
        <v/>
      </c>
      <c r="N646" s="21">
        <f>SUMPRODUCT(MAX((Брони!$B$2:$B$500=B646)*((Брони!$F$2:$F$500="Выдана")+(Брони!$F$2:$F$500="Возвращена"))*(Брони!$D$2:$D$500&lt;=A646)*Брони!$D$2:$D$500))</f>
        <v/>
      </c>
      <c r="O646" s="19">
        <f>SUMPRODUCT((Брони!$B$2:$B$500=B646)*(Брони!$D$2:$D$500=N646)*((((Брони!$F$2:$F$500="Выдана")*NOW())+((Брони!$F$2:$F$500="Возвращена")*Брони!$E$2:$E$500))&gt;=A646)*Брони!$A$2:$A$500)</f>
        <v/>
      </c>
      <c r="P646" s="19">
        <f>SUMPRODUCT((Брони!$B$2:$B$500=B646)*(Брони!$D$2:$D$500=N646)*(((Брони!$F$2:$F$500="Выдана")+(Брони!$F$2:$F$500="Возвращена"))))</f>
        <v/>
      </c>
      <c r="Q646" s="10" t="n"/>
    </row>
    <row r="647">
      <c r="A647" s="11" t="n"/>
      <c r="B647" s="10" t="n"/>
      <c r="C647" s="10" t="n"/>
      <c r="D647" s="14" t="n"/>
      <c r="E647" s="10" t="n"/>
      <c r="F647" s="20">
        <f>IF(OR(A647="",B647=""),"",IF(OR(NOT(ISNUMBER(A647)),ISERROR(N647+O647+P647)),"Проверьте даты",IF(AND(N647&gt;0,P647&gt;1),"Дубль",IF(AND(N647&gt;0,O647&gt;0),O647,"Вне аренды"))))</f>
        <v/>
      </c>
      <c r="G647" s="12">
        <f>IF(ISNUMBER(F647),IFERROR(INDEX(Брони!$C$2:$C$500,MATCH(F647,Брони!$A$2:$A$500,0)),""),"")</f>
        <v/>
      </c>
      <c r="H647" s="10" t="n"/>
      <c r="I647" s="18" t="n"/>
      <c r="J647" s="12">
        <f>IF(AND(ISNUMBER(F647),I647&lt;&gt;""),IFERROR(IF(AND(INDEX(Брони!$F$2:$F$500,MATCH(F647,Брони!$A$2:$A$500,0))="Возвращена",I647&gt;INDEX(Брони!$E$2:$E$500,MATCH(F647,Брони!$A$2:$A$500,0))),"Да",""),""),"")</f>
        <v/>
      </c>
      <c r="K647" s="10" t="n"/>
      <c r="L647" s="14" t="n"/>
      <c r="M647" s="15">
        <f>IF(OR(A647="",B647=""),"",IF(AND(ISNUMBER(F647),H647&lt;&gt;"Компания"),D647+L647,0))</f>
        <v/>
      </c>
      <c r="N647" s="21">
        <f>SUMPRODUCT(MAX((Брони!$B$2:$B$500=B647)*((Брони!$F$2:$F$500="Выдана")+(Брони!$F$2:$F$500="Возвращена"))*(Брони!$D$2:$D$500&lt;=A647)*Брони!$D$2:$D$500))</f>
        <v/>
      </c>
      <c r="O647" s="19">
        <f>SUMPRODUCT((Брони!$B$2:$B$500=B647)*(Брони!$D$2:$D$500=N647)*((((Брони!$F$2:$F$500="Выдана")*NOW())+((Брони!$F$2:$F$500="Возвращена")*Брони!$E$2:$E$500))&gt;=A647)*Брони!$A$2:$A$500)</f>
        <v/>
      </c>
      <c r="P647" s="19">
        <f>SUMPRODUCT((Брони!$B$2:$B$500=B647)*(Брони!$D$2:$D$500=N647)*(((Брони!$F$2:$F$500="Выдана")+(Брони!$F$2:$F$500="Возвращена"))))</f>
        <v/>
      </c>
      <c r="Q647" s="10" t="n"/>
    </row>
    <row r="648">
      <c r="A648" s="11" t="n"/>
      <c r="B648" s="10" t="n"/>
      <c r="C648" s="10" t="n"/>
      <c r="D648" s="14" t="n"/>
      <c r="E648" s="10" t="n"/>
      <c r="F648" s="20">
        <f>IF(OR(A648="",B648=""),"",IF(OR(NOT(ISNUMBER(A648)),ISERROR(N648+O648+P648)),"Проверьте даты",IF(AND(N648&gt;0,P648&gt;1),"Дубль",IF(AND(N648&gt;0,O648&gt;0),O648,"Вне аренды"))))</f>
        <v/>
      </c>
      <c r="G648" s="12">
        <f>IF(ISNUMBER(F648),IFERROR(INDEX(Брони!$C$2:$C$500,MATCH(F648,Брони!$A$2:$A$500,0)),""),"")</f>
        <v/>
      </c>
      <c r="H648" s="10" t="n"/>
      <c r="I648" s="18" t="n"/>
      <c r="J648" s="12">
        <f>IF(AND(ISNUMBER(F648),I648&lt;&gt;""),IFERROR(IF(AND(INDEX(Брони!$F$2:$F$500,MATCH(F648,Брони!$A$2:$A$500,0))="Возвращена",I648&gt;INDEX(Брони!$E$2:$E$500,MATCH(F648,Брони!$A$2:$A$500,0))),"Да",""),""),"")</f>
        <v/>
      </c>
      <c r="K648" s="10" t="n"/>
      <c r="L648" s="14" t="n"/>
      <c r="M648" s="15">
        <f>IF(OR(A648="",B648=""),"",IF(AND(ISNUMBER(F648),H648&lt;&gt;"Компания"),D648+L648,0))</f>
        <v/>
      </c>
      <c r="N648" s="21">
        <f>SUMPRODUCT(MAX((Брони!$B$2:$B$500=B648)*((Брони!$F$2:$F$500="Выдана")+(Брони!$F$2:$F$500="Возвращена"))*(Брони!$D$2:$D$500&lt;=A648)*Брони!$D$2:$D$500))</f>
        <v/>
      </c>
      <c r="O648" s="19">
        <f>SUMPRODUCT((Брони!$B$2:$B$500=B648)*(Брони!$D$2:$D$500=N648)*((((Брони!$F$2:$F$500="Выдана")*NOW())+((Брони!$F$2:$F$500="Возвращена")*Брони!$E$2:$E$500))&gt;=A648)*Брони!$A$2:$A$500)</f>
        <v/>
      </c>
      <c r="P648" s="19">
        <f>SUMPRODUCT((Брони!$B$2:$B$500=B648)*(Брони!$D$2:$D$500=N648)*(((Брони!$F$2:$F$500="Выдана")+(Брони!$F$2:$F$500="Возвращена"))))</f>
        <v/>
      </c>
      <c r="Q648" s="10" t="n"/>
    </row>
    <row r="649">
      <c r="A649" s="11" t="n"/>
      <c r="B649" s="10" t="n"/>
      <c r="C649" s="10" t="n"/>
      <c r="D649" s="14" t="n"/>
      <c r="E649" s="10" t="n"/>
      <c r="F649" s="20">
        <f>IF(OR(A649="",B649=""),"",IF(OR(NOT(ISNUMBER(A649)),ISERROR(N649+O649+P649)),"Проверьте даты",IF(AND(N649&gt;0,P649&gt;1),"Дубль",IF(AND(N649&gt;0,O649&gt;0),O649,"Вне аренды"))))</f>
        <v/>
      </c>
      <c r="G649" s="12">
        <f>IF(ISNUMBER(F649),IFERROR(INDEX(Брони!$C$2:$C$500,MATCH(F649,Брони!$A$2:$A$500,0)),""),"")</f>
        <v/>
      </c>
      <c r="H649" s="10" t="n"/>
      <c r="I649" s="18" t="n"/>
      <c r="J649" s="12">
        <f>IF(AND(ISNUMBER(F649),I649&lt;&gt;""),IFERROR(IF(AND(INDEX(Брони!$F$2:$F$500,MATCH(F649,Брони!$A$2:$A$500,0))="Возвращена",I649&gt;INDEX(Брони!$E$2:$E$500,MATCH(F649,Брони!$A$2:$A$500,0))),"Да",""),""),"")</f>
        <v/>
      </c>
      <c r="K649" s="10" t="n"/>
      <c r="L649" s="14" t="n"/>
      <c r="M649" s="15">
        <f>IF(OR(A649="",B649=""),"",IF(AND(ISNUMBER(F649),H649&lt;&gt;"Компания"),D649+L649,0))</f>
        <v/>
      </c>
      <c r="N649" s="21">
        <f>SUMPRODUCT(MAX((Брони!$B$2:$B$500=B649)*((Брони!$F$2:$F$500="Выдана")+(Брони!$F$2:$F$500="Возвращена"))*(Брони!$D$2:$D$500&lt;=A649)*Брони!$D$2:$D$500))</f>
        <v/>
      </c>
      <c r="O649" s="19">
        <f>SUMPRODUCT((Брони!$B$2:$B$500=B649)*(Брони!$D$2:$D$500=N649)*((((Брони!$F$2:$F$500="Выдана")*NOW())+((Брони!$F$2:$F$500="Возвращена")*Брони!$E$2:$E$500))&gt;=A649)*Брони!$A$2:$A$500)</f>
        <v/>
      </c>
      <c r="P649" s="19">
        <f>SUMPRODUCT((Брони!$B$2:$B$500=B649)*(Брони!$D$2:$D$500=N649)*(((Брони!$F$2:$F$500="Выдана")+(Брони!$F$2:$F$500="Возвращена"))))</f>
        <v/>
      </c>
      <c r="Q649" s="10" t="n"/>
    </row>
    <row r="650">
      <c r="A650" s="11" t="n"/>
      <c r="B650" s="10" t="n"/>
      <c r="C650" s="10" t="n"/>
      <c r="D650" s="14" t="n"/>
      <c r="E650" s="10" t="n"/>
      <c r="F650" s="20">
        <f>IF(OR(A650="",B650=""),"",IF(OR(NOT(ISNUMBER(A650)),ISERROR(N650+O650+P650)),"Проверьте даты",IF(AND(N650&gt;0,P650&gt;1),"Дубль",IF(AND(N650&gt;0,O650&gt;0),O650,"Вне аренды"))))</f>
        <v/>
      </c>
      <c r="G650" s="12">
        <f>IF(ISNUMBER(F650),IFERROR(INDEX(Брони!$C$2:$C$500,MATCH(F650,Брони!$A$2:$A$500,0)),""),"")</f>
        <v/>
      </c>
      <c r="H650" s="10" t="n"/>
      <c r="I650" s="18" t="n"/>
      <c r="J650" s="12">
        <f>IF(AND(ISNUMBER(F650),I650&lt;&gt;""),IFERROR(IF(AND(INDEX(Брони!$F$2:$F$500,MATCH(F650,Брони!$A$2:$A$500,0))="Возвращена",I650&gt;INDEX(Брони!$E$2:$E$500,MATCH(F650,Брони!$A$2:$A$500,0))),"Да",""),""),"")</f>
        <v/>
      </c>
      <c r="K650" s="10" t="n"/>
      <c r="L650" s="14" t="n"/>
      <c r="M650" s="15">
        <f>IF(OR(A650="",B650=""),"",IF(AND(ISNUMBER(F650),H650&lt;&gt;"Компания"),D650+L650,0))</f>
        <v/>
      </c>
      <c r="N650" s="21">
        <f>SUMPRODUCT(MAX((Брони!$B$2:$B$500=B650)*((Брони!$F$2:$F$500="Выдана")+(Брони!$F$2:$F$500="Возвращена"))*(Брони!$D$2:$D$500&lt;=A650)*Брони!$D$2:$D$500))</f>
        <v/>
      </c>
      <c r="O650" s="19">
        <f>SUMPRODUCT((Брони!$B$2:$B$500=B650)*(Брони!$D$2:$D$500=N650)*((((Брони!$F$2:$F$500="Выдана")*NOW())+((Брони!$F$2:$F$500="Возвращена")*Брони!$E$2:$E$500))&gt;=A650)*Брони!$A$2:$A$500)</f>
        <v/>
      </c>
      <c r="P650" s="19">
        <f>SUMPRODUCT((Брони!$B$2:$B$500=B650)*(Брони!$D$2:$D$500=N650)*(((Брони!$F$2:$F$500="Выдана")+(Брони!$F$2:$F$500="Возвращена"))))</f>
        <v/>
      </c>
      <c r="Q650" s="10" t="n"/>
    </row>
    <row r="651">
      <c r="A651" s="11" t="n"/>
      <c r="B651" s="10" t="n"/>
      <c r="C651" s="10" t="n"/>
      <c r="D651" s="14" t="n"/>
      <c r="E651" s="10" t="n"/>
      <c r="F651" s="20">
        <f>IF(OR(A651="",B651=""),"",IF(OR(NOT(ISNUMBER(A651)),ISERROR(N651+O651+P651)),"Проверьте даты",IF(AND(N651&gt;0,P651&gt;1),"Дубль",IF(AND(N651&gt;0,O651&gt;0),O651,"Вне аренды"))))</f>
        <v/>
      </c>
      <c r="G651" s="12">
        <f>IF(ISNUMBER(F651),IFERROR(INDEX(Брони!$C$2:$C$500,MATCH(F651,Брони!$A$2:$A$500,0)),""),"")</f>
        <v/>
      </c>
      <c r="H651" s="10" t="n"/>
      <c r="I651" s="18" t="n"/>
      <c r="J651" s="12">
        <f>IF(AND(ISNUMBER(F651),I651&lt;&gt;""),IFERROR(IF(AND(INDEX(Брони!$F$2:$F$500,MATCH(F651,Брони!$A$2:$A$500,0))="Возвращена",I651&gt;INDEX(Брони!$E$2:$E$500,MATCH(F651,Брони!$A$2:$A$500,0))),"Да",""),""),"")</f>
        <v/>
      </c>
      <c r="K651" s="10" t="n"/>
      <c r="L651" s="14" t="n"/>
      <c r="M651" s="15">
        <f>IF(OR(A651="",B651=""),"",IF(AND(ISNUMBER(F651),H651&lt;&gt;"Компания"),D651+L651,0))</f>
        <v/>
      </c>
      <c r="N651" s="21">
        <f>SUMPRODUCT(MAX((Брони!$B$2:$B$500=B651)*((Брони!$F$2:$F$500="Выдана")+(Брони!$F$2:$F$500="Возвращена"))*(Брони!$D$2:$D$500&lt;=A651)*Брони!$D$2:$D$500))</f>
        <v/>
      </c>
      <c r="O651" s="19">
        <f>SUMPRODUCT((Брони!$B$2:$B$500=B651)*(Брони!$D$2:$D$500=N651)*((((Брони!$F$2:$F$500="Выдана")*NOW())+((Брони!$F$2:$F$500="Возвращена")*Брони!$E$2:$E$500))&gt;=A651)*Брони!$A$2:$A$500)</f>
        <v/>
      </c>
      <c r="P651" s="19">
        <f>SUMPRODUCT((Брони!$B$2:$B$500=B651)*(Брони!$D$2:$D$500=N651)*(((Брони!$F$2:$F$500="Выдана")+(Брони!$F$2:$F$500="Возвращена"))))</f>
        <v/>
      </c>
      <c r="Q651" s="10" t="n"/>
    </row>
    <row r="652">
      <c r="A652" s="11" t="n"/>
      <c r="B652" s="10" t="n"/>
      <c r="C652" s="10" t="n"/>
      <c r="D652" s="14" t="n"/>
      <c r="E652" s="10" t="n"/>
      <c r="F652" s="20">
        <f>IF(OR(A652="",B652=""),"",IF(OR(NOT(ISNUMBER(A652)),ISERROR(N652+O652+P652)),"Проверьте даты",IF(AND(N652&gt;0,P652&gt;1),"Дубль",IF(AND(N652&gt;0,O652&gt;0),O652,"Вне аренды"))))</f>
        <v/>
      </c>
      <c r="G652" s="12">
        <f>IF(ISNUMBER(F652),IFERROR(INDEX(Брони!$C$2:$C$500,MATCH(F652,Брони!$A$2:$A$500,0)),""),"")</f>
        <v/>
      </c>
      <c r="H652" s="10" t="n"/>
      <c r="I652" s="18" t="n"/>
      <c r="J652" s="12">
        <f>IF(AND(ISNUMBER(F652),I652&lt;&gt;""),IFERROR(IF(AND(INDEX(Брони!$F$2:$F$500,MATCH(F652,Брони!$A$2:$A$500,0))="Возвращена",I652&gt;INDEX(Брони!$E$2:$E$500,MATCH(F652,Брони!$A$2:$A$500,0))),"Да",""),""),"")</f>
        <v/>
      </c>
      <c r="K652" s="10" t="n"/>
      <c r="L652" s="14" t="n"/>
      <c r="M652" s="15">
        <f>IF(OR(A652="",B652=""),"",IF(AND(ISNUMBER(F652),H652&lt;&gt;"Компания"),D652+L652,0))</f>
        <v/>
      </c>
      <c r="N652" s="21">
        <f>SUMPRODUCT(MAX((Брони!$B$2:$B$500=B652)*((Брони!$F$2:$F$500="Выдана")+(Брони!$F$2:$F$500="Возвращена"))*(Брони!$D$2:$D$500&lt;=A652)*Брони!$D$2:$D$500))</f>
        <v/>
      </c>
      <c r="O652" s="19">
        <f>SUMPRODUCT((Брони!$B$2:$B$500=B652)*(Брони!$D$2:$D$500=N652)*((((Брони!$F$2:$F$500="Выдана")*NOW())+((Брони!$F$2:$F$500="Возвращена")*Брони!$E$2:$E$500))&gt;=A652)*Брони!$A$2:$A$500)</f>
        <v/>
      </c>
      <c r="P652" s="19">
        <f>SUMPRODUCT((Брони!$B$2:$B$500=B652)*(Брони!$D$2:$D$500=N652)*(((Брони!$F$2:$F$500="Выдана")+(Брони!$F$2:$F$500="Возвращена"))))</f>
        <v/>
      </c>
      <c r="Q652" s="10" t="n"/>
    </row>
    <row r="653">
      <c r="A653" s="11" t="n"/>
      <c r="B653" s="10" t="n"/>
      <c r="C653" s="10" t="n"/>
      <c r="D653" s="14" t="n"/>
      <c r="E653" s="10" t="n"/>
      <c r="F653" s="20">
        <f>IF(OR(A653="",B653=""),"",IF(OR(NOT(ISNUMBER(A653)),ISERROR(N653+O653+P653)),"Проверьте даты",IF(AND(N653&gt;0,P653&gt;1),"Дубль",IF(AND(N653&gt;0,O653&gt;0),O653,"Вне аренды"))))</f>
        <v/>
      </c>
      <c r="G653" s="12">
        <f>IF(ISNUMBER(F653),IFERROR(INDEX(Брони!$C$2:$C$500,MATCH(F653,Брони!$A$2:$A$500,0)),""),"")</f>
        <v/>
      </c>
      <c r="H653" s="10" t="n"/>
      <c r="I653" s="18" t="n"/>
      <c r="J653" s="12">
        <f>IF(AND(ISNUMBER(F653),I653&lt;&gt;""),IFERROR(IF(AND(INDEX(Брони!$F$2:$F$500,MATCH(F653,Брони!$A$2:$A$500,0))="Возвращена",I653&gt;INDEX(Брони!$E$2:$E$500,MATCH(F653,Брони!$A$2:$A$500,0))),"Да",""),""),"")</f>
        <v/>
      </c>
      <c r="K653" s="10" t="n"/>
      <c r="L653" s="14" t="n"/>
      <c r="M653" s="15">
        <f>IF(OR(A653="",B653=""),"",IF(AND(ISNUMBER(F653),H653&lt;&gt;"Компания"),D653+L653,0))</f>
        <v/>
      </c>
      <c r="N653" s="21">
        <f>SUMPRODUCT(MAX((Брони!$B$2:$B$500=B653)*((Брони!$F$2:$F$500="Выдана")+(Брони!$F$2:$F$500="Возвращена"))*(Брони!$D$2:$D$500&lt;=A653)*Брони!$D$2:$D$500))</f>
        <v/>
      </c>
      <c r="O653" s="19">
        <f>SUMPRODUCT((Брони!$B$2:$B$500=B653)*(Брони!$D$2:$D$500=N653)*((((Брони!$F$2:$F$500="Выдана")*NOW())+((Брони!$F$2:$F$500="Возвращена")*Брони!$E$2:$E$500))&gt;=A653)*Брони!$A$2:$A$500)</f>
        <v/>
      </c>
      <c r="P653" s="19">
        <f>SUMPRODUCT((Брони!$B$2:$B$500=B653)*(Брони!$D$2:$D$500=N653)*(((Брони!$F$2:$F$500="Выдана")+(Брони!$F$2:$F$500="Возвращена"))))</f>
        <v/>
      </c>
      <c r="Q653" s="10" t="n"/>
    </row>
    <row r="654">
      <c r="A654" s="11" t="n"/>
      <c r="B654" s="10" t="n"/>
      <c r="C654" s="10" t="n"/>
      <c r="D654" s="14" t="n"/>
      <c r="E654" s="10" t="n"/>
      <c r="F654" s="20">
        <f>IF(OR(A654="",B654=""),"",IF(OR(NOT(ISNUMBER(A654)),ISERROR(N654+O654+P654)),"Проверьте даты",IF(AND(N654&gt;0,P654&gt;1),"Дубль",IF(AND(N654&gt;0,O654&gt;0),O654,"Вне аренды"))))</f>
        <v/>
      </c>
      <c r="G654" s="12">
        <f>IF(ISNUMBER(F654),IFERROR(INDEX(Брони!$C$2:$C$500,MATCH(F654,Брони!$A$2:$A$500,0)),""),"")</f>
        <v/>
      </c>
      <c r="H654" s="10" t="n"/>
      <c r="I654" s="18" t="n"/>
      <c r="J654" s="12">
        <f>IF(AND(ISNUMBER(F654),I654&lt;&gt;""),IFERROR(IF(AND(INDEX(Брони!$F$2:$F$500,MATCH(F654,Брони!$A$2:$A$500,0))="Возвращена",I654&gt;INDEX(Брони!$E$2:$E$500,MATCH(F654,Брони!$A$2:$A$500,0))),"Да",""),""),"")</f>
        <v/>
      </c>
      <c r="K654" s="10" t="n"/>
      <c r="L654" s="14" t="n"/>
      <c r="M654" s="15">
        <f>IF(OR(A654="",B654=""),"",IF(AND(ISNUMBER(F654),H654&lt;&gt;"Компания"),D654+L654,0))</f>
        <v/>
      </c>
      <c r="N654" s="21">
        <f>SUMPRODUCT(MAX((Брони!$B$2:$B$500=B654)*((Брони!$F$2:$F$500="Выдана")+(Брони!$F$2:$F$500="Возвращена"))*(Брони!$D$2:$D$500&lt;=A654)*Брони!$D$2:$D$500))</f>
        <v/>
      </c>
      <c r="O654" s="19">
        <f>SUMPRODUCT((Брони!$B$2:$B$500=B654)*(Брони!$D$2:$D$500=N654)*((((Брони!$F$2:$F$500="Выдана")*NOW())+((Брони!$F$2:$F$500="Возвращена")*Брони!$E$2:$E$500))&gt;=A654)*Брони!$A$2:$A$500)</f>
        <v/>
      </c>
      <c r="P654" s="19">
        <f>SUMPRODUCT((Брони!$B$2:$B$500=B654)*(Брони!$D$2:$D$500=N654)*(((Брони!$F$2:$F$500="Выдана")+(Брони!$F$2:$F$500="Возвращена"))))</f>
        <v/>
      </c>
      <c r="Q654" s="10" t="n"/>
    </row>
    <row r="655">
      <c r="A655" s="11" t="n"/>
      <c r="B655" s="10" t="n"/>
      <c r="C655" s="10" t="n"/>
      <c r="D655" s="14" t="n"/>
      <c r="E655" s="10" t="n"/>
      <c r="F655" s="20">
        <f>IF(OR(A655="",B655=""),"",IF(OR(NOT(ISNUMBER(A655)),ISERROR(N655+O655+P655)),"Проверьте даты",IF(AND(N655&gt;0,P655&gt;1),"Дубль",IF(AND(N655&gt;0,O655&gt;0),O655,"Вне аренды"))))</f>
        <v/>
      </c>
      <c r="G655" s="12">
        <f>IF(ISNUMBER(F655),IFERROR(INDEX(Брони!$C$2:$C$500,MATCH(F655,Брони!$A$2:$A$500,0)),""),"")</f>
        <v/>
      </c>
      <c r="H655" s="10" t="n"/>
      <c r="I655" s="18" t="n"/>
      <c r="J655" s="12">
        <f>IF(AND(ISNUMBER(F655),I655&lt;&gt;""),IFERROR(IF(AND(INDEX(Брони!$F$2:$F$500,MATCH(F655,Брони!$A$2:$A$500,0))="Возвращена",I655&gt;INDEX(Брони!$E$2:$E$500,MATCH(F655,Брони!$A$2:$A$500,0))),"Да",""),""),"")</f>
        <v/>
      </c>
      <c r="K655" s="10" t="n"/>
      <c r="L655" s="14" t="n"/>
      <c r="M655" s="15">
        <f>IF(OR(A655="",B655=""),"",IF(AND(ISNUMBER(F655),H655&lt;&gt;"Компания"),D655+L655,0))</f>
        <v/>
      </c>
      <c r="N655" s="21">
        <f>SUMPRODUCT(MAX((Брони!$B$2:$B$500=B655)*((Брони!$F$2:$F$500="Выдана")+(Брони!$F$2:$F$500="Возвращена"))*(Брони!$D$2:$D$500&lt;=A655)*Брони!$D$2:$D$500))</f>
        <v/>
      </c>
      <c r="O655" s="19">
        <f>SUMPRODUCT((Брони!$B$2:$B$500=B655)*(Брони!$D$2:$D$500=N655)*((((Брони!$F$2:$F$500="Выдана")*NOW())+((Брони!$F$2:$F$500="Возвращена")*Брони!$E$2:$E$500))&gt;=A655)*Брони!$A$2:$A$500)</f>
        <v/>
      </c>
      <c r="P655" s="19">
        <f>SUMPRODUCT((Брони!$B$2:$B$500=B655)*(Брони!$D$2:$D$500=N655)*(((Брони!$F$2:$F$500="Выдана")+(Брони!$F$2:$F$500="Возвращена"))))</f>
        <v/>
      </c>
      <c r="Q655" s="10" t="n"/>
    </row>
    <row r="656">
      <c r="A656" s="11" t="n"/>
      <c r="B656" s="10" t="n"/>
      <c r="C656" s="10" t="n"/>
      <c r="D656" s="14" t="n"/>
      <c r="E656" s="10" t="n"/>
      <c r="F656" s="20">
        <f>IF(OR(A656="",B656=""),"",IF(OR(NOT(ISNUMBER(A656)),ISERROR(N656+O656+P656)),"Проверьте даты",IF(AND(N656&gt;0,P656&gt;1),"Дубль",IF(AND(N656&gt;0,O656&gt;0),O656,"Вне аренды"))))</f>
        <v/>
      </c>
      <c r="G656" s="12">
        <f>IF(ISNUMBER(F656),IFERROR(INDEX(Брони!$C$2:$C$500,MATCH(F656,Брони!$A$2:$A$500,0)),""),"")</f>
        <v/>
      </c>
      <c r="H656" s="10" t="n"/>
      <c r="I656" s="18" t="n"/>
      <c r="J656" s="12">
        <f>IF(AND(ISNUMBER(F656),I656&lt;&gt;""),IFERROR(IF(AND(INDEX(Брони!$F$2:$F$500,MATCH(F656,Брони!$A$2:$A$500,0))="Возвращена",I656&gt;INDEX(Брони!$E$2:$E$500,MATCH(F656,Брони!$A$2:$A$500,0))),"Да",""),""),"")</f>
        <v/>
      </c>
      <c r="K656" s="10" t="n"/>
      <c r="L656" s="14" t="n"/>
      <c r="M656" s="15">
        <f>IF(OR(A656="",B656=""),"",IF(AND(ISNUMBER(F656),H656&lt;&gt;"Компания"),D656+L656,0))</f>
        <v/>
      </c>
      <c r="N656" s="21">
        <f>SUMPRODUCT(MAX((Брони!$B$2:$B$500=B656)*((Брони!$F$2:$F$500="Выдана")+(Брони!$F$2:$F$500="Возвращена"))*(Брони!$D$2:$D$500&lt;=A656)*Брони!$D$2:$D$500))</f>
        <v/>
      </c>
      <c r="O656" s="19">
        <f>SUMPRODUCT((Брони!$B$2:$B$500=B656)*(Брони!$D$2:$D$500=N656)*((((Брони!$F$2:$F$500="Выдана")*NOW())+((Брони!$F$2:$F$500="Возвращена")*Брони!$E$2:$E$500))&gt;=A656)*Брони!$A$2:$A$500)</f>
        <v/>
      </c>
      <c r="P656" s="19">
        <f>SUMPRODUCT((Брони!$B$2:$B$500=B656)*(Брони!$D$2:$D$500=N656)*(((Брони!$F$2:$F$500="Выдана")+(Брони!$F$2:$F$500="Возвращена"))))</f>
        <v/>
      </c>
      <c r="Q656" s="10" t="n"/>
    </row>
    <row r="657">
      <c r="A657" s="11" t="n"/>
      <c r="B657" s="10" t="n"/>
      <c r="C657" s="10" t="n"/>
      <c r="D657" s="14" t="n"/>
      <c r="E657" s="10" t="n"/>
      <c r="F657" s="20">
        <f>IF(OR(A657="",B657=""),"",IF(OR(NOT(ISNUMBER(A657)),ISERROR(N657+O657+P657)),"Проверьте даты",IF(AND(N657&gt;0,P657&gt;1),"Дубль",IF(AND(N657&gt;0,O657&gt;0),O657,"Вне аренды"))))</f>
        <v/>
      </c>
      <c r="G657" s="12">
        <f>IF(ISNUMBER(F657),IFERROR(INDEX(Брони!$C$2:$C$500,MATCH(F657,Брони!$A$2:$A$500,0)),""),"")</f>
        <v/>
      </c>
      <c r="H657" s="10" t="n"/>
      <c r="I657" s="18" t="n"/>
      <c r="J657" s="12">
        <f>IF(AND(ISNUMBER(F657),I657&lt;&gt;""),IFERROR(IF(AND(INDEX(Брони!$F$2:$F$500,MATCH(F657,Брони!$A$2:$A$500,0))="Возвращена",I657&gt;INDEX(Брони!$E$2:$E$500,MATCH(F657,Брони!$A$2:$A$500,0))),"Да",""),""),"")</f>
        <v/>
      </c>
      <c r="K657" s="10" t="n"/>
      <c r="L657" s="14" t="n"/>
      <c r="M657" s="15">
        <f>IF(OR(A657="",B657=""),"",IF(AND(ISNUMBER(F657),H657&lt;&gt;"Компания"),D657+L657,0))</f>
        <v/>
      </c>
      <c r="N657" s="21">
        <f>SUMPRODUCT(MAX((Брони!$B$2:$B$500=B657)*((Брони!$F$2:$F$500="Выдана")+(Брони!$F$2:$F$500="Возвращена"))*(Брони!$D$2:$D$500&lt;=A657)*Брони!$D$2:$D$500))</f>
        <v/>
      </c>
      <c r="O657" s="19">
        <f>SUMPRODUCT((Брони!$B$2:$B$500=B657)*(Брони!$D$2:$D$500=N657)*((((Брони!$F$2:$F$500="Выдана")*NOW())+((Брони!$F$2:$F$500="Возвращена")*Брони!$E$2:$E$500))&gt;=A657)*Брони!$A$2:$A$500)</f>
        <v/>
      </c>
      <c r="P657" s="19">
        <f>SUMPRODUCT((Брони!$B$2:$B$500=B657)*(Брони!$D$2:$D$500=N657)*(((Брони!$F$2:$F$500="Выдана")+(Брони!$F$2:$F$500="Возвращена"))))</f>
        <v/>
      </c>
      <c r="Q657" s="10" t="n"/>
    </row>
    <row r="658">
      <c r="A658" s="11" t="n"/>
      <c r="B658" s="10" t="n"/>
      <c r="C658" s="10" t="n"/>
      <c r="D658" s="14" t="n"/>
      <c r="E658" s="10" t="n"/>
      <c r="F658" s="20">
        <f>IF(OR(A658="",B658=""),"",IF(OR(NOT(ISNUMBER(A658)),ISERROR(N658+O658+P658)),"Проверьте даты",IF(AND(N658&gt;0,P658&gt;1),"Дубль",IF(AND(N658&gt;0,O658&gt;0),O658,"Вне аренды"))))</f>
        <v/>
      </c>
      <c r="G658" s="12">
        <f>IF(ISNUMBER(F658),IFERROR(INDEX(Брони!$C$2:$C$500,MATCH(F658,Брони!$A$2:$A$500,0)),""),"")</f>
        <v/>
      </c>
      <c r="H658" s="10" t="n"/>
      <c r="I658" s="18" t="n"/>
      <c r="J658" s="12">
        <f>IF(AND(ISNUMBER(F658),I658&lt;&gt;""),IFERROR(IF(AND(INDEX(Брони!$F$2:$F$500,MATCH(F658,Брони!$A$2:$A$500,0))="Возвращена",I658&gt;INDEX(Брони!$E$2:$E$500,MATCH(F658,Брони!$A$2:$A$500,0))),"Да",""),""),"")</f>
        <v/>
      </c>
      <c r="K658" s="10" t="n"/>
      <c r="L658" s="14" t="n"/>
      <c r="M658" s="15">
        <f>IF(OR(A658="",B658=""),"",IF(AND(ISNUMBER(F658),H658&lt;&gt;"Компания"),D658+L658,0))</f>
        <v/>
      </c>
      <c r="N658" s="21">
        <f>SUMPRODUCT(MAX((Брони!$B$2:$B$500=B658)*((Брони!$F$2:$F$500="Выдана")+(Брони!$F$2:$F$500="Возвращена"))*(Брони!$D$2:$D$500&lt;=A658)*Брони!$D$2:$D$500))</f>
        <v/>
      </c>
      <c r="O658" s="19">
        <f>SUMPRODUCT((Брони!$B$2:$B$500=B658)*(Брони!$D$2:$D$500=N658)*((((Брони!$F$2:$F$500="Выдана")*NOW())+((Брони!$F$2:$F$500="Возвращена")*Брони!$E$2:$E$500))&gt;=A658)*Брони!$A$2:$A$500)</f>
        <v/>
      </c>
      <c r="P658" s="19">
        <f>SUMPRODUCT((Брони!$B$2:$B$500=B658)*(Брони!$D$2:$D$500=N658)*(((Брони!$F$2:$F$500="Выдана")+(Брони!$F$2:$F$500="Возвращена"))))</f>
        <v/>
      </c>
      <c r="Q658" s="10" t="n"/>
    </row>
    <row r="659">
      <c r="A659" s="11" t="n"/>
      <c r="B659" s="10" t="n"/>
      <c r="C659" s="10" t="n"/>
      <c r="D659" s="14" t="n"/>
      <c r="E659" s="10" t="n"/>
      <c r="F659" s="20">
        <f>IF(OR(A659="",B659=""),"",IF(OR(NOT(ISNUMBER(A659)),ISERROR(N659+O659+P659)),"Проверьте даты",IF(AND(N659&gt;0,P659&gt;1),"Дубль",IF(AND(N659&gt;0,O659&gt;0),O659,"Вне аренды"))))</f>
        <v/>
      </c>
      <c r="G659" s="12">
        <f>IF(ISNUMBER(F659),IFERROR(INDEX(Брони!$C$2:$C$500,MATCH(F659,Брони!$A$2:$A$500,0)),""),"")</f>
        <v/>
      </c>
      <c r="H659" s="10" t="n"/>
      <c r="I659" s="18" t="n"/>
      <c r="J659" s="12">
        <f>IF(AND(ISNUMBER(F659),I659&lt;&gt;""),IFERROR(IF(AND(INDEX(Брони!$F$2:$F$500,MATCH(F659,Брони!$A$2:$A$500,0))="Возвращена",I659&gt;INDEX(Брони!$E$2:$E$500,MATCH(F659,Брони!$A$2:$A$500,0))),"Да",""),""),"")</f>
        <v/>
      </c>
      <c r="K659" s="10" t="n"/>
      <c r="L659" s="14" t="n"/>
      <c r="M659" s="15">
        <f>IF(OR(A659="",B659=""),"",IF(AND(ISNUMBER(F659),H659&lt;&gt;"Компания"),D659+L659,0))</f>
        <v/>
      </c>
      <c r="N659" s="21">
        <f>SUMPRODUCT(MAX((Брони!$B$2:$B$500=B659)*((Брони!$F$2:$F$500="Выдана")+(Брони!$F$2:$F$500="Возвращена"))*(Брони!$D$2:$D$500&lt;=A659)*Брони!$D$2:$D$500))</f>
        <v/>
      </c>
      <c r="O659" s="19">
        <f>SUMPRODUCT((Брони!$B$2:$B$500=B659)*(Брони!$D$2:$D$500=N659)*((((Брони!$F$2:$F$500="Выдана")*NOW())+((Брони!$F$2:$F$500="Возвращена")*Брони!$E$2:$E$500))&gt;=A659)*Брони!$A$2:$A$500)</f>
        <v/>
      </c>
      <c r="P659" s="19">
        <f>SUMPRODUCT((Брони!$B$2:$B$500=B659)*(Брони!$D$2:$D$500=N659)*(((Брони!$F$2:$F$500="Выдана")+(Брони!$F$2:$F$500="Возвращена"))))</f>
        <v/>
      </c>
      <c r="Q659" s="10" t="n"/>
    </row>
    <row r="660">
      <c r="A660" s="11" t="n"/>
      <c r="B660" s="10" t="n"/>
      <c r="C660" s="10" t="n"/>
      <c r="D660" s="14" t="n"/>
      <c r="E660" s="10" t="n"/>
      <c r="F660" s="20">
        <f>IF(OR(A660="",B660=""),"",IF(OR(NOT(ISNUMBER(A660)),ISERROR(N660+O660+P660)),"Проверьте даты",IF(AND(N660&gt;0,P660&gt;1),"Дубль",IF(AND(N660&gt;0,O660&gt;0),O660,"Вне аренды"))))</f>
        <v/>
      </c>
      <c r="G660" s="12">
        <f>IF(ISNUMBER(F660),IFERROR(INDEX(Брони!$C$2:$C$500,MATCH(F660,Брони!$A$2:$A$500,0)),""),"")</f>
        <v/>
      </c>
      <c r="H660" s="10" t="n"/>
      <c r="I660" s="18" t="n"/>
      <c r="J660" s="12">
        <f>IF(AND(ISNUMBER(F660),I660&lt;&gt;""),IFERROR(IF(AND(INDEX(Брони!$F$2:$F$500,MATCH(F660,Брони!$A$2:$A$500,0))="Возвращена",I660&gt;INDEX(Брони!$E$2:$E$500,MATCH(F660,Брони!$A$2:$A$500,0))),"Да",""),""),"")</f>
        <v/>
      </c>
      <c r="K660" s="10" t="n"/>
      <c r="L660" s="14" t="n"/>
      <c r="M660" s="15">
        <f>IF(OR(A660="",B660=""),"",IF(AND(ISNUMBER(F660),H660&lt;&gt;"Компания"),D660+L660,0))</f>
        <v/>
      </c>
      <c r="N660" s="21">
        <f>SUMPRODUCT(MAX((Брони!$B$2:$B$500=B660)*((Брони!$F$2:$F$500="Выдана")+(Брони!$F$2:$F$500="Возвращена"))*(Брони!$D$2:$D$500&lt;=A660)*Брони!$D$2:$D$500))</f>
        <v/>
      </c>
      <c r="O660" s="19">
        <f>SUMPRODUCT((Брони!$B$2:$B$500=B660)*(Брони!$D$2:$D$500=N660)*((((Брони!$F$2:$F$500="Выдана")*NOW())+((Брони!$F$2:$F$500="Возвращена")*Брони!$E$2:$E$500))&gt;=A660)*Брони!$A$2:$A$500)</f>
        <v/>
      </c>
      <c r="P660" s="19">
        <f>SUMPRODUCT((Брони!$B$2:$B$500=B660)*(Брони!$D$2:$D$500=N660)*(((Брони!$F$2:$F$500="Выдана")+(Брони!$F$2:$F$500="Возвращена"))))</f>
        <v/>
      </c>
      <c r="Q660" s="10" t="n"/>
    </row>
    <row r="661">
      <c r="A661" s="11" t="n"/>
      <c r="B661" s="10" t="n"/>
      <c r="C661" s="10" t="n"/>
      <c r="D661" s="14" t="n"/>
      <c r="E661" s="10" t="n"/>
      <c r="F661" s="20">
        <f>IF(OR(A661="",B661=""),"",IF(OR(NOT(ISNUMBER(A661)),ISERROR(N661+O661+P661)),"Проверьте даты",IF(AND(N661&gt;0,P661&gt;1),"Дубль",IF(AND(N661&gt;0,O661&gt;0),O661,"Вне аренды"))))</f>
        <v/>
      </c>
      <c r="G661" s="12">
        <f>IF(ISNUMBER(F661),IFERROR(INDEX(Брони!$C$2:$C$500,MATCH(F661,Брони!$A$2:$A$500,0)),""),"")</f>
        <v/>
      </c>
      <c r="H661" s="10" t="n"/>
      <c r="I661" s="18" t="n"/>
      <c r="J661" s="12">
        <f>IF(AND(ISNUMBER(F661),I661&lt;&gt;""),IFERROR(IF(AND(INDEX(Брони!$F$2:$F$500,MATCH(F661,Брони!$A$2:$A$500,0))="Возвращена",I661&gt;INDEX(Брони!$E$2:$E$500,MATCH(F661,Брони!$A$2:$A$500,0))),"Да",""),""),"")</f>
        <v/>
      </c>
      <c r="K661" s="10" t="n"/>
      <c r="L661" s="14" t="n"/>
      <c r="M661" s="15">
        <f>IF(OR(A661="",B661=""),"",IF(AND(ISNUMBER(F661),H661&lt;&gt;"Компания"),D661+L661,0))</f>
        <v/>
      </c>
      <c r="N661" s="21">
        <f>SUMPRODUCT(MAX((Брони!$B$2:$B$500=B661)*((Брони!$F$2:$F$500="Выдана")+(Брони!$F$2:$F$500="Возвращена"))*(Брони!$D$2:$D$500&lt;=A661)*Брони!$D$2:$D$500))</f>
        <v/>
      </c>
      <c r="O661" s="19">
        <f>SUMPRODUCT((Брони!$B$2:$B$500=B661)*(Брони!$D$2:$D$500=N661)*((((Брони!$F$2:$F$500="Выдана")*NOW())+((Брони!$F$2:$F$500="Возвращена")*Брони!$E$2:$E$500))&gt;=A661)*Брони!$A$2:$A$500)</f>
        <v/>
      </c>
      <c r="P661" s="19">
        <f>SUMPRODUCT((Брони!$B$2:$B$500=B661)*(Брони!$D$2:$D$500=N661)*(((Брони!$F$2:$F$500="Выдана")+(Брони!$F$2:$F$500="Возвращена"))))</f>
        <v/>
      </c>
      <c r="Q661" s="10" t="n"/>
    </row>
    <row r="662">
      <c r="A662" s="11" t="n"/>
      <c r="B662" s="10" t="n"/>
      <c r="C662" s="10" t="n"/>
      <c r="D662" s="14" t="n"/>
      <c r="E662" s="10" t="n"/>
      <c r="F662" s="20">
        <f>IF(OR(A662="",B662=""),"",IF(OR(NOT(ISNUMBER(A662)),ISERROR(N662+O662+P662)),"Проверьте даты",IF(AND(N662&gt;0,P662&gt;1),"Дубль",IF(AND(N662&gt;0,O662&gt;0),O662,"Вне аренды"))))</f>
        <v/>
      </c>
      <c r="G662" s="12">
        <f>IF(ISNUMBER(F662),IFERROR(INDEX(Брони!$C$2:$C$500,MATCH(F662,Брони!$A$2:$A$500,0)),""),"")</f>
        <v/>
      </c>
      <c r="H662" s="10" t="n"/>
      <c r="I662" s="18" t="n"/>
      <c r="J662" s="12">
        <f>IF(AND(ISNUMBER(F662),I662&lt;&gt;""),IFERROR(IF(AND(INDEX(Брони!$F$2:$F$500,MATCH(F662,Брони!$A$2:$A$500,0))="Возвращена",I662&gt;INDEX(Брони!$E$2:$E$500,MATCH(F662,Брони!$A$2:$A$500,0))),"Да",""),""),"")</f>
        <v/>
      </c>
      <c r="K662" s="10" t="n"/>
      <c r="L662" s="14" t="n"/>
      <c r="M662" s="15">
        <f>IF(OR(A662="",B662=""),"",IF(AND(ISNUMBER(F662),H662&lt;&gt;"Компания"),D662+L662,0))</f>
        <v/>
      </c>
      <c r="N662" s="21">
        <f>SUMPRODUCT(MAX((Брони!$B$2:$B$500=B662)*((Брони!$F$2:$F$500="Выдана")+(Брони!$F$2:$F$500="Возвращена"))*(Брони!$D$2:$D$500&lt;=A662)*Брони!$D$2:$D$500))</f>
        <v/>
      </c>
      <c r="O662" s="19">
        <f>SUMPRODUCT((Брони!$B$2:$B$500=B662)*(Брони!$D$2:$D$500=N662)*((((Брони!$F$2:$F$500="Выдана")*NOW())+((Брони!$F$2:$F$500="Возвращена")*Брони!$E$2:$E$500))&gt;=A662)*Брони!$A$2:$A$500)</f>
        <v/>
      </c>
      <c r="P662" s="19">
        <f>SUMPRODUCT((Брони!$B$2:$B$500=B662)*(Брони!$D$2:$D$500=N662)*(((Брони!$F$2:$F$500="Выдана")+(Брони!$F$2:$F$500="Возвращена"))))</f>
        <v/>
      </c>
      <c r="Q662" s="10" t="n"/>
    </row>
    <row r="663">
      <c r="A663" s="11" t="n"/>
      <c r="B663" s="10" t="n"/>
      <c r="C663" s="10" t="n"/>
      <c r="D663" s="14" t="n"/>
      <c r="E663" s="10" t="n"/>
      <c r="F663" s="20">
        <f>IF(OR(A663="",B663=""),"",IF(OR(NOT(ISNUMBER(A663)),ISERROR(N663+O663+P663)),"Проверьте даты",IF(AND(N663&gt;0,P663&gt;1),"Дубль",IF(AND(N663&gt;0,O663&gt;0),O663,"Вне аренды"))))</f>
        <v/>
      </c>
      <c r="G663" s="12">
        <f>IF(ISNUMBER(F663),IFERROR(INDEX(Брони!$C$2:$C$500,MATCH(F663,Брони!$A$2:$A$500,0)),""),"")</f>
        <v/>
      </c>
      <c r="H663" s="10" t="n"/>
      <c r="I663" s="18" t="n"/>
      <c r="J663" s="12">
        <f>IF(AND(ISNUMBER(F663),I663&lt;&gt;""),IFERROR(IF(AND(INDEX(Брони!$F$2:$F$500,MATCH(F663,Брони!$A$2:$A$500,0))="Возвращена",I663&gt;INDEX(Брони!$E$2:$E$500,MATCH(F663,Брони!$A$2:$A$500,0))),"Да",""),""),"")</f>
        <v/>
      </c>
      <c r="K663" s="10" t="n"/>
      <c r="L663" s="14" t="n"/>
      <c r="M663" s="15">
        <f>IF(OR(A663="",B663=""),"",IF(AND(ISNUMBER(F663),H663&lt;&gt;"Компания"),D663+L663,0))</f>
        <v/>
      </c>
      <c r="N663" s="21">
        <f>SUMPRODUCT(MAX((Брони!$B$2:$B$500=B663)*((Брони!$F$2:$F$500="Выдана")+(Брони!$F$2:$F$500="Возвращена"))*(Брони!$D$2:$D$500&lt;=A663)*Брони!$D$2:$D$500))</f>
        <v/>
      </c>
      <c r="O663" s="19">
        <f>SUMPRODUCT((Брони!$B$2:$B$500=B663)*(Брони!$D$2:$D$500=N663)*((((Брони!$F$2:$F$500="Выдана")*NOW())+((Брони!$F$2:$F$500="Возвращена")*Брони!$E$2:$E$500))&gt;=A663)*Брони!$A$2:$A$500)</f>
        <v/>
      </c>
      <c r="P663" s="19">
        <f>SUMPRODUCT((Брони!$B$2:$B$500=B663)*(Брони!$D$2:$D$500=N663)*(((Брони!$F$2:$F$500="Выдана")+(Брони!$F$2:$F$500="Возвращена"))))</f>
        <v/>
      </c>
      <c r="Q663" s="10" t="n"/>
    </row>
    <row r="664">
      <c r="A664" s="11" t="n"/>
      <c r="B664" s="10" t="n"/>
      <c r="C664" s="10" t="n"/>
      <c r="D664" s="14" t="n"/>
      <c r="E664" s="10" t="n"/>
      <c r="F664" s="20">
        <f>IF(OR(A664="",B664=""),"",IF(OR(NOT(ISNUMBER(A664)),ISERROR(N664+O664+P664)),"Проверьте даты",IF(AND(N664&gt;0,P664&gt;1),"Дубль",IF(AND(N664&gt;0,O664&gt;0),O664,"Вне аренды"))))</f>
        <v/>
      </c>
      <c r="G664" s="12">
        <f>IF(ISNUMBER(F664),IFERROR(INDEX(Брони!$C$2:$C$500,MATCH(F664,Брони!$A$2:$A$500,0)),""),"")</f>
        <v/>
      </c>
      <c r="H664" s="10" t="n"/>
      <c r="I664" s="18" t="n"/>
      <c r="J664" s="12">
        <f>IF(AND(ISNUMBER(F664),I664&lt;&gt;""),IFERROR(IF(AND(INDEX(Брони!$F$2:$F$500,MATCH(F664,Брони!$A$2:$A$500,0))="Возвращена",I664&gt;INDEX(Брони!$E$2:$E$500,MATCH(F664,Брони!$A$2:$A$500,0))),"Да",""),""),"")</f>
        <v/>
      </c>
      <c r="K664" s="10" t="n"/>
      <c r="L664" s="14" t="n"/>
      <c r="M664" s="15">
        <f>IF(OR(A664="",B664=""),"",IF(AND(ISNUMBER(F664),H664&lt;&gt;"Компания"),D664+L664,0))</f>
        <v/>
      </c>
      <c r="N664" s="21">
        <f>SUMPRODUCT(MAX((Брони!$B$2:$B$500=B664)*((Брони!$F$2:$F$500="Выдана")+(Брони!$F$2:$F$500="Возвращена"))*(Брони!$D$2:$D$500&lt;=A664)*Брони!$D$2:$D$500))</f>
        <v/>
      </c>
      <c r="O664" s="19">
        <f>SUMPRODUCT((Брони!$B$2:$B$500=B664)*(Брони!$D$2:$D$500=N664)*((((Брони!$F$2:$F$500="Выдана")*NOW())+((Брони!$F$2:$F$500="Возвращена")*Брони!$E$2:$E$500))&gt;=A664)*Брони!$A$2:$A$500)</f>
        <v/>
      </c>
      <c r="P664" s="19">
        <f>SUMPRODUCT((Брони!$B$2:$B$500=B664)*(Брони!$D$2:$D$500=N664)*(((Брони!$F$2:$F$500="Выдана")+(Брони!$F$2:$F$500="Возвращена"))))</f>
        <v/>
      </c>
      <c r="Q664" s="10" t="n"/>
    </row>
    <row r="665">
      <c r="A665" s="11" t="n"/>
      <c r="B665" s="10" t="n"/>
      <c r="C665" s="10" t="n"/>
      <c r="D665" s="14" t="n"/>
      <c r="E665" s="10" t="n"/>
      <c r="F665" s="20">
        <f>IF(OR(A665="",B665=""),"",IF(OR(NOT(ISNUMBER(A665)),ISERROR(N665+O665+P665)),"Проверьте даты",IF(AND(N665&gt;0,P665&gt;1),"Дубль",IF(AND(N665&gt;0,O665&gt;0),O665,"Вне аренды"))))</f>
        <v/>
      </c>
      <c r="G665" s="12">
        <f>IF(ISNUMBER(F665),IFERROR(INDEX(Брони!$C$2:$C$500,MATCH(F665,Брони!$A$2:$A$500,0)),""),"")</f>
        <v/>
      </c>
      <c r="H665" s="10" t="n"/>
      <c r="I665" s="18" t="n"/>
      <c r="J665" s="12">
        <f>IF(AND(ISNUMBER(F665),I665&lt;&gt;""),IFERROR(IF(AND(INDEX(Брони!$F$2:$F$500,MATCH(F665,Брони!$A$2:$A$500,0))="Возвращена",I665&gt;INDEX(Брони!$E$2:$E$500,MATCH(F665,Брони!$A$2:$A$500,0))),"Да",""),""),"")</f>
        <v/>
      </c>
      <c r="K665" s="10" t="n"/>
      <c r="L665" s="14" t="n"/>
      <c r="M665" s="15">
        <f>IF(OR(A665="",B665=""),"",IF(AND(ISNUMBER(F665),H665&lt;&gt;"Компания"),D665+L665,0))</f>
        <v/>
      </c>
      <c r="N665" s="21">
        <f>SUMPRODUCT(MAX((Брони!$B$2:$B$500=B665)*((Брони!$F$2:$F$500="Выдана")+(Брони!$F$2:$F$500="Возвращена"))*(Брони!$D$2:$D$500&lt;=A665)*Брони!$D$2:$D$500))</f>
        <v/>
      </c>
      <c r="O665" s="19">
        <f>SUMPRODUCT((Брони!$B$2:$B$500=B665)*(Брони!$D$2:$D$500=N665)*((((Брони!$F$2:$F$500="Выдана")*NOW())+((Брони!$F$2:$F$500="Возвращена")*Брони!$E$2:$E$500))&gt;=A665)*Брони!$A$2:$A$500)</f>
        <v/>
      </c>
      <c r="P665" s="19">
        <f>SUMPRODUCT((Брони!$B$2:$B$500=B665)*(Брони!$D$2:$D$500=N665)*(((Брони!$F$2:$F$500="Выдана")+(Брони!$F$2:$F$500="Возвращена"))))</f>
        <v/>
      </c>
      <c r="Q665" s="10" t="n"/>
    </row>
    <row r="666">
      <c r="A666" s="11" t="n"/>
      <c r="B666" s="10" t="n"/>
      <c r="C666" s="10" t="n"/>
      <c r="D666" s="14" t="n"/>
      <c r="E666" s="10" t="n"/>
      <c r="F666" s="20">
        <f>IF(OR(A666="",B666=""),"",IF(OR(NOT(ISNUMBER(A666)),ISERROR(N666+O666+P666)),"Проверьте даты",IF(AND(N666&gt;0,P666&gt;1),"Дубль",IF(AND(N666&gt;0,O666&gt;0),O666,"Вне аренды"))))</f>
        <v/>
      </c>
      <c r="G666" s="12">
        <f>IF(ISNUMBER(F666),IFERROR(INDEX(Брони!$C$2:$C$500,MATCH(F666,Брони!$A$2:$A$500,0)),""),"")</f>
        <v/>
      </c>
      <c r="H666" s="10" t="n"/>
      <c r="I666" s="18" t="n"/>
      <c r="J666" s="12">
        <f>IF(AND(ISNUMBER(F666),I666&lt;&gt;""),IFERROR(IF(AND(INDEX(Брони!$F$2:$F$500,MATCH(F666,Брони!$A$2:$A$500,0))="Возвращена",I666&gt;INDEX(Брони!$E$2:$E$500,MATCH(F666,Брони!$A$2:$A$500,0))),"Да",""),""),"")</f>
        <v/>
      </c>
      <c r="K666" s="10" t="n"/>
      <c r="L666" s="14" t="n"/>
      <c r="M666" s="15">
        <f>IF(OR(A666="",B666=""),"",IF(AND(ISNUMBER(F666),H666&lt;&gt;"Компания"),D666+L666,0))</f>
        <v/>
      </c>
      <c r="N666" s="21">
        <f>SUMPRODUCT(MAX((Брони!$B$2:$B$500=B666)*((Брони!$F$2:$F$500="Выдана")+(Брони!$F$2:$F$500="Возвращена"))*(Брони!$D$2:$D$500&lt;=A666)*Брони!$D$2:$D$500))</f>
        <v/>
      </c>
      <c r="O666" s="19">
        <f>SUMPRODUCT((Брони!$B$2:$B$500=B666)*(Брони!$D$2:$D$500=N666)*((((Брони!$F$2:$F$500="Выдана")*NOW())+((Брони!$F$2:$F$500="Возвращена")*Брони!$E$2:$E$500))&gt;=A666)*Брони!$A$2:$A$500)</f>
        <v/>
      </c>
      <c r="P666" s="19">
        <f>SUMPRODUCT((Брони!$B$2:$B$500=B666)*(Брони!$D$2:$D$500=N666)*(((Брони!$F$2:$F$500="Выдана")+(Брони!$F$2:$F$500="Возвращена"))))</f>
        <v/>
      </c>
      <c r="Q666" s="10" t="n"/>
    </row>
    <row r="667">
      <c r="A667" s="11" t="n"/>
      <c r="B667" s="10" t="n"/>
      <c r="C667" s="10" t="n"/>
      <c r="D667" s="14" t="n"/>
      <c r="E667" s="10" t="n"/>
      <c r="F667" s="20">
        <f>IF(OR(A667="",B667=""),"",IF(OR(NOT(ISNUMBER(A667)),ISERROR(N667+O667+P667)),"Проверьте даты",IF(AND(N667&gt;0,P667&gt;1),"Дубль",IF(AND(N667&gt;0,O667&gt;0),O667,"Вне аренды"))))</f>
        <v/>
      </c>
      <c r="G667" s="12">
        <f>IF(ISNUMBER(F667),IFERROR(INDEX(Брони!$C$2:$C$500,MATCH(F667,Брони!$A$2:$A$500,0)),""),"")</f>
        <v/>
      </c>
      <c r="H667" s="10" t="n"/>
      <c r="I667" s="18" t="n"/>
      <c r="J667" s="12">
        <f>IF(AND(ISNUMBER(F667),I667&lt;&gt;""),IFERROR(IF(AND(INDEX(Брони!$F$2:$F$500,MATCH(F667,Брони!$A$2:$A$500,0))="Возвращена",I667&gt;INDEX(Брони!$E$2:$E$500,MATCH(F667,Брони!$A$2:$A$500,0))),"Да",""),""),"")</f>
        <v/>
      </c>
      <c r="K667" s="10" t="n"/>
      <c r="L667" s="14" t="n"/>
      <c r="M667" s="15">
        <f>IF(OR(A667="",B667=""),"",IF(AND(ISNUMBER(F667),H667&lt;&gt;"Компания"),D667+L667,0))</f>
        <v/>
      </c>
      <c r="N667" s="21">
        <f>SUMPRODUCT(MAX((Брони!$B$2:$B$500=B667)*((Брони!$F$2:$F$500="Выдана")+(Брони!$F$2:$F$500="Возвращена"))*(Брони!$D$2:$D$500&lt;=A667)*Брони!$D$2:$D$500))</f>
        <v/>
      </c>
      <c r="O667" s="19">
        <f>SUMPRODUCT((Брони!$B$2:$B$500=B667)*(Брони!$D$2:$D$500=N667)*((((Брони!$F$2:$F$500="Выдана")*NOW())+((Брони!$F$2:$F$500="Возвращена")*Брони!$E$2:$E$500))&gt;=A667)*Брони!$A$2:$A$500)</f>
        <v/>
      </c>
      <c r="P667" s="19">
        <f>SUMPRODUCT((Брони!$B$2:$B$500=B667)*(Брони!$D$2:$D$500=N667)*(((Брони!$F$2:$F$500="Выдана")+(Брони!$F$2:$F$500="Возвращена"))))</f>
        <v/>
      </c>
      <c r="Q667" s="10" t="n"/>
    </row>
    <row r="668">
      <c r="A668" s="11" t="n"/>
      <c r="B668" s="10" t="n"/>
      <c r="C668" s="10" t="n"/>
      <c r="D668" s="14" t="n"/>
      <c r="E668" s="10" t="n"/>
      <c r="F668" s="20">
        <f>IF(OR(A668="",B668=""),"",IF(OR(NOT(ISNUMBER(A668)),ISERROR(N668+O668+P668)),"Проверьте даты",IF(AND(N668&gt;0,P668&gt;1),"Дубль",IF(AND(N668&gt;0,O668&gt;0),O668,"Вне аренды"))))</f>
        <v/>
      </c>
      <c r="G668" s="12">
        <f>IF(ISNUMBER(F668),IFERROR(INDEX(Брони!$C$2:$C$500,MATCH(F668,Брони!$A$2:$A$500,0)),""),"")</f>
        <v/>
      </c>
      <c r="H668" s="10" t="n"/>
      <c r="I668" s="18" t="n"/>
      <c r="J668" s="12">
        <f>IF(AND(ISNUMBER(F668),I668&lt;&gt;""),IFERROR(IF(AND(INDEX(Брони!$F$2:$F$500,MATCH(F668,Брони!$A$2:$A$500,0))="Возвращена",I668&gt;INDEX(Брони!$E$2:$E$500,MATCH(F668,Брони!$A$2:$A$500,0))),"Да",""),""),"")</f>
        <v/>
      </c>
      <c r="K668" s="10" t="n"/>
      <c r="L668" s="14" t="n"/>
      <c r="M668" s="15">
        <f>IF(OR(A668="",B668=""),"",IF(AND(ISNUMBER(F668),H668&lt;&gt;"Компания"),D668+L668,0))</f>
        <v/>
      </c>
      <c r="N668" s="21">
        <f>SUMPRODUCT(MAX((Брони!$B$2:$B$500=B668)*((Брони!$F$2:$F$500="Выдана")+(Брони!$F$2:$F$500="Возвращена"))*(Брони!$D$2:$D$500&lt;=A668)*Брони!$D$2:$D$500))</f>
        <v/>
      </c>
      <c r="O668" s="19">
        <f>SUMPRODUCT((Брони!$B$2:$B$500=B668)*(Брони!$D$2:$D$500=N668)*((((Брони!$F$2:$F$500="Выдана")*NOW())+((Брони!$F$2:$F$500="Возвращена")*Брони!$E$2:$E$500))&gt;=A668)*Брони!$A$2:$A$500)</f>
        <v/>
      </c>
      <c r="P668" s="19">
        <f>SUMPRODUCT((Брони!$B$2:$B$500=B668)*(Брони!$D$2:$D$500=N668)*(((Брони!$F$2:$F$500="Выдана")+(Брони!$F$2:$F$500="Возвращена"))))</f>
        <v/>
      </c>
      <c r="Q668" s="10" t="n"/>
    </row>
    <row r="669">
      <c r="A669" s="11" t="n"/>
      <c r="B669" s="10" t="n"/>
      <c r="C669" s="10" t="n"/>
      <c r="D669" s="14" t="n"/>
      <c r="E669" s="10" t="n"/>
      <c r="F669" s="20">
        <f>IF(OR(A669="",B669=""),"",IF(OR(NOT(ISNUMBER(A669)),ISERROR(N669+O669+P669)),"Проверьте даты",IF(AND(N669&gt;0,P669&gt;1),"Дубль",IF(AND(N669&gt;0,O669&gt;0),O669,"Вне аренды"))))</f>
        <v/>
      </c>
      <c r="G669" s="12">
        <f>IF(ISNUMBER(F669),IFERROR(INDEX(Брони!$C$2:$C$500,MATCH(F669,Брони!$A$2:$A$500,0)),""),"")</f>
        <v/>
      </c>
      <c r="H669" s="10" t="n"/>
      <c r="I669" s="18" t="n"/>
      <c r="J669" s="12">
        <f>IF(AND(ISNUMBER(F669),I669&lt;&gt;""),IFERROR(IF(AND(INDEX(Брони!$F$2:$F$500,MATCH(F669,Брони!$A$2:$A$500,0))="Возвращена",I669&gt;INDEX(Брони!$E$2:$E$500,MATCH(F669,Брони!$A$2:$A$500,0))),"Да",""),""),"")</f>
        <v/>
      </c>
      <c r="K669" s="10" t="n"/>
      <c r="L669" s="14" t="n"/>
      <c r="M669" s="15">
        <f>IF(OR(A669="",B669=""),"",IF(AND(ISNUMBER(F669),H669&lt;&gt;"Компания"),D669+L669,0))</f>
        <v/>
      </c>
      <c r="N669" s="21">
        <f>SUMPRODUCT(MAX((Брони!$B$2:$B$500=B669)*((Брони!$F$2:$F$500="Выдана")+(Брони!$F$2:$F$500="Возвращена"))*(Брони!$D$2:$D$500&lt;=A669)*Брони!$D$2:$D$500))</f>
        <v/>
      </c>
      <c r="O669" s="19">
        <f>SUMPRODUCT((Брони!$B$2:$B$500=B669)*(Брони!$D$2:$D$500=N669)*((((Брони!$F$2:$F$500="Выдана")*NOW())+((Брони!$F$2:$F$500="Возвращена")*Брони!$E$2:$E$500))&gt;=A669)*Брони!$A$2:$A$500)</f>
        <v/>
      </c>
      <c r="P669" s="19">
        <f>SUMPRODUCT((Брони!$B$2:$B$500=B669)*(Брони!$D$2:$D$500=N669)*(((Брони!$F$2:$F$500="Выдана")+(Брони!$F$2:$F$500="Возвращена"))))</f>
        <v/>
      </c>
      <c r="Q669" s="10" t="n"/>
    </row>
    <row r="670">
      <c r="A670" s="11" t="n"/>
      <c r="B670" s="10" t="n"/>
      <c r="C670" s="10" t="n"/>
      <c r="D670" s="14" t="n"/>
      <c r="E670" s="10" t="n"/>
      <c r="F670" s="20">
        <f>IF(OR(A670="",B670=""),"",IF(OR(NOT(ISNUMBER(A670)),ISERROR(N670+O670+P670)),"Проверьте даты",IF(AND(N670&gt;0,P670&gt;1),"Дубль",IF(AND(N670&gt;0,O670&gt;0),O670,"Вне аренды"))))</f>
        <v/>
      </c>
      <c r="G670" s="12">
        <f>IF(ISNUMBER(F670),IFERROR(INDEX(Брони!$C$2:$C$500,MATCH(F670,Брони!$A$2:$A$500,0)),""),"")</f>
        <v/>
      </c>
      <c r="H670" s="10" t="n"/>
      <c r="I670" s="18" t="n"/>
      <c r="J670" s="12">
        <f>IF(AND(ISNUMBER(F670),I670&lt;&gt;""),IFERROR(IF(AND(INDEX(Брони!$F$2:$F$500,MATCH(F670,Брони!$A$2:$A$500,0))="Возвращена",I670&gt;INDEX(Брони!$E$2:$E$500,MATCH(F670,Брони!$A$2:$A$500,0))),"Да",""),""),"")</f>
        <v/>
      </c>
      <c r="K670" s="10" t="n"/>
      <c r="L670" s="14" t="n"/>
      <c r="M670" s="15">
        <f>IF(OR(A670="",B670=""),"",IF(AND(ISNUMBER(F670),H670&lt;&gt;"Компания"),D670+L670,0))</f>
        <v/>
      </c>
      <c r="N670" s="21">
        <f>SUMPRODUCT(MAX((Брони!$B$2:$B$500=B670)*((Брони!$F$2:$F$500="Выдана")+(Брони!$F$2:$F$500="Возвращена"))*(Брони!$D$2:$D$500&lt;=A670)*Брони!$D$2:$D$500))</f>
        <v/>
      </c>
      <c r="O670" s="19">
        <f>SUMPRODUCT((Брони!$B$2:$B$500=B670)*(Брони!$D$2:$D$500=N670)*((((Брони!$F$2:$F$500="Выдана")*NOW())+((Брони!$F$2:$F$500="Возвращена")*Брони!$E$2:$E$500))&gt;=A670)*Брони!$A$2:$A$500)</f>
        <v/>
      </c>
      <c r="P670" s="19">
        <f>SUMPRODUCT((Брони!$B$2:$B$500=B670)*(Брони!$D$2:$D$500=N670)*(((Брони!$F$2:$F$500="Выдана")+(Брони!$F$2:$F$500="Возвращена"))))</f>
        <v/>
      </c>
      <c r="Q670" s="10" t="n"/>
    </row>
    <row r="671">
      <c r="A671" s="11" t="n"/>
      <c r="B671" s="10" t="n"/>
      <c r="C671" s="10" t="n"/>
      <c r="D671" s="14" t="n"/>
      <c r="E671" s="10" t="n"/>
      <c r="F671" s="20">
        <f>IF(OR(A671="",B671=""),"",IF(OR(NOT(ISNUMBER(A671)),ISERROR(N671+O671+P671)),"Проверьте даты",IF(AND(N671&gt;0,P671&gt;1),"Дубль",IF(AND(N671&gt;0,O671&gt;0),O671,"Вне аренды"))))</f>
        <v/>
      </c>
      <c r="G671" s="12">
        <f>IF(ISNUMBER(F671),IFERROR(INDEX(Брони!$C$2:$C$500,MATCH(F671,Брони!$A$2:$A$500,0)),""),"")</f>
        <v/>
      </c>
      <c r="H671" s="10" t="n"/>
      <c r="I671" s="18" t="n"/>
      <c r="J671" s="12">
        <f>IF(AND(ISNUMBER(F671),I671&lt;&gt;""),IFERROR(IF(AND(INDEX(Брони!$F$2:$F$500,MATCH(F671,Брони!$A$2:$A$500,0))="Возвращена",I671&gt;INDEX(Брони!$E$2:$E$500,MATCH(F671,Брони!$A$2:$A$500,0))),"Да",""),""),"")</f>
        <v/>
      </c>
      <c r="K671" s="10" t="n"/>
      <c r="L671" s="14" t="n"/>
      <c r="M671" s="15">
        <f>IF(OR(A671="",B671=""),"",IF(AND(ISNUMBER(F671),H671&lt;&gt;"Компания"),D671+L671,0))</f>
        <v/>
      </c>
      <c r="N671" s="21">
        <f>SUMPRODUCT(MAX((Брони!$B$2:$B$500=B671)*((Брони!$F$2:$F$500="Выдана")+(Брони!$F$2:$F$500="Возвращена"))*(Брони!$D$2:$D$500&lt;=A671)*Брони!$D$2:$D$500))</f>
        <v/>
      </c>
      <c r="O671" s="19">
        <f>SUMPRODUCT((Брони!$B$2:$B$500=B671)*(Брони!$D$2:$D$500=N671)*((((Брони!$F$2:$F$500="Выдана")*NOW())+((Брони!$F$2:$F$500="Возвращена")*Брони!$E$2:$E$500))&gt;=A671)*Брони!$A$2:$A$500)</f>
        <v/>
      </c>
      <c r="P671" s="19">
        <f>SUMPRODUCT((Брони!$B$2:$B$500=B671)*(Брони!$D$2:$D$500=N671)*(((Брони!$F$2:$F$500="Выдана")+(Брони!$F$2:$F$500="Возвращена"))))</f>
        <v/>
      </c>
      <c r="Q671" s="10" t="n"/>
    </row>
    <row r="672">
      <c r="A672" s="11" t="n"/>
      <c r="B672" s="10" t="n"/>
      <c r="C672" s="10" t="n"/>
      <c r="D672" s="14" t="n"/>
      <c r="E672" s="10" t="n"/>
      <c r="F672" s="20">
        <f>IF(OR(A672="",B672=""),"",IF(OR(NOT(ISNUMBER(A672)),ISERROR(N672+O672+P672)),"Проверьте даты",IF(AND(N672&gt;0,P672&gt;1),"Дубль",IF(AND(N672&gt;0,O672&gt;0),O672,"Вне аренды"))))</f>
        <v/>
      </c>
      <c r="G672" s="12">
        <f>IF(ISNUMBER(F672),IFERROR(INDEX(Брони!$C$2:$C$500,MATCH(F672,Брони!$A$2:$A$500,0)),""),"")</f>
        <v/>
      </c>
      <c r="H672" s="10" t="n"/>
      <c r="I672" s="18" t="n"/>
      <c r="J672" s="12">
        <f>IF(AND(ISNUMBER(F672),I672&lt;&gt;""),IFERROR(IF(AND(INDEX(Брони!$F$2:$F$500,MATCH(F672,Брони!$A$2:$A$500,0))="Возвращена",I672&gt;INDEX(Брони!$E$2:$E$500,MATCH(F672,Брони!$A$2:$A$500,0))),"Да",""),""),"")</f>
        <v/>
      </c>
      <c r="K672" s="10" t="n"/>
      <c r="L672" s="14" t="n"/>
      <c r="M672" s="15">
        <f>IF(OR(A672="",B672=""),"",IF(AND(ISNUMBER(F672),H672&lt;&gt;"Компания"),D672+L672,0))</f>
        <v/>
      </c>
      <c r="N672" s="21">
        <f>SUMPRODUCT(MAX((Брони!$B$2:$B$500=B672)*((Брони!$F$2:$F$500="Выдана")+(Брони!$F$2:$F$500="Возвращена"))*(Брони!$D$2:$D$500&lt;=A672)*Брони!$D$2:$D$500))</f>
        <v/>
      </c>
      <c r="O672" s="19">
        <f>SUMPRODUCT((Брони!$B$2:$B$500=B672)*(Брони!$D$2:$D$500=N672)*((((Брони!$F$2:$F$500="Выдана")*NOW())+((Брони!$F$2:$F$500="Возвращена")*Брони!$E$2:$E$500))&gt;=A672)*Брони!$A$2:$A$500)</f>
        <v/>
      </c>
      <c r="P672" s="19">
        <f>SUMPRODUCT((Брони!$B$2:$B$500=B672)*(Брони!$D$2:$D$500=N672)*(((Брони!$F$2:$F$500="Выдана")+(Брони!$F$2:$F$500="Возвращена"))))</f>
        <v/>
      </c>
      <c r="Q672" s="10" t="n"/>
    </row>
    <row r="673">
      <c r="A673" s="11" t="n"/>
      <c r="B673" s="10" t="n"/>
      <c r="C673" s="10" t="n"/>
      <c r="D673" s="14" t="n"/>
      <c r="E673" s="10" t="n"/>
      <c r="F673" s="20">
        <f>IF(OR(A673="",B673=""),"",IF(OR(NOT(ISNUMBER(A673)),ISERROR(N673+O673+P673)),"Проверьте даты",IF(AND(N673&gt;0,P673&gt;1),"Дубль",IF(AND(N673&gt;0,O673&gt;0),O673,"Вне аренды"))))</f>
        <v/>
      </c>
      <c r="G673" s="12">
        <f>IF(ISNUMBER(F673),IFERROR(INDEX(Брони!$C$2:$C$500,MATCH(F673,Брони!$A$2:$A$500,0)),""),"")</f>
        <v/>
      </c>
      <c r="H673" s="10" t="n"/>
      <c r="I673" s="18" t="n"/>
      <c r="J673" s="12">
        <f>IF(AND(ISNUMBER(F673),I673&lt;&gt;""),IFERROR(IF(AND(INDEX(Брони!$F$2:$F$500,MATCH(F673,Брони!$A$2:$A$500,0))="Возвращена",I673&gt;INDEX(Брони!$E$2:$E$500,MATCH(F673,Брони!$A$2:$A$500,0))),"Да",""),""),"")</f>
        <v/>
      </c>
      <c r="K673" s="10" t="n"/>
      <c r="L673" s="14" t="n"/>
      <c r="M673" s="15">
        <f>IF(OR(A673="",B673=""),"",IF(AND(ISNUMBER(F673),H673&lt;&gt;"Компания"),D673+L673,0))</f>
        <v/>
      </c>
      <c r="N673" s="21">
        <f>SUMPRODUCT(MAX((Брони!$B$2:$B$500=B673)*((Брони!$F$2:$F$500="Выдана")+(Брони!$F$2:$F$500="Возвращена"))*(Брони!$D$2:$D$500&lt;=A673)*Брони!$D$2:$D$500))</f>
        <v/>
      </c>
      <c r="O673" s="19">
        <f>SUMPRODUCT((Брони!$B$2:$B$500=B673)*(Брони!$D$2:$D$500=N673)*((((Брони!$F$2:$F$500="Выдана")*NOW())+((Брони!$F$2:$F$500="Возвращена")*Брони!$E$2:$E$500))&gt;=A673)*Брони!$A$2:$A$500)</f>
        <v/>
      </c>
      <c r="P673" s="19">
        <f>SUMPRODUCT((Брони!$B$2:$B$500=B673)*(Брони!$D$2:$D$500=N673)*(((Брони!$F$2:$F$500="Выдана")+(Брони!$F$2:$F$500="Возвращена"))))</f>
        <v/>
      </c>
      <c r="Q673" s="10" t="n"/>
    </row>
    <row r="674">
      <c r="A674" s="11" t="n"/>
      <c r="B674" s="10" t="n"/>
      <c r="C674" s="10" t="n"/>
      <c r="D674" s="14" t="n"/>
      <c r="E674" s="10" t="n"/>
      <c r="F674" s="20">
        <f>IF(OR(A674="",B674=""),"",IF(OR(NOT(ISNUMBER(A674)),ISERROR(N674+O674+P674)),"Проверьте даты",IF(AND(N674&gt;0,P674&gt;1),"Дубль",IF(AND(N674&gt;0,O674&gt;0),O674,"Вне аренды"))))</f>
        <v/>
      </c>
      <c r="G674" s="12">
        <f>IF(ISNUMBER(F674),IFERROR(INDEX(Брони!$C$2:$C$500,MATCH(F674,Брони!$A$2:$A$500,0)),""),"")</f>
        <v/>
      </c>
      <c r="H674" s="10" t="n"/>
      <c r="I674" s="18" t="n"/>
      <c r="J674" s="12">
        <f>IF(AND(ISNUMBER(F674),I674&lt;&gt;""),IFERROR(IF(AND(INDEX(Брони!$F$2:$F$500,MATCH(F674,Брони!$A$2:$A$500,0))="Возвращена",I674&gt;INDEX(Брони!$E$2:$E$500,MATCH(F674,Брони!$A$2:$A$500,0))),"Да",""),""),"")</f>
        <v/>
      </c>
      <c r="K674" s="10" t="n"/>
      <c r="L674" s="14" t="n"/>
      <c r="M674" s="15">
        <f>IF(OR(A674="",B674=""),"",IF(AND(ISNUMBER(F674),H674&lt;&gt;"Компания"),D674+L674,0))</f>
        <v/>
      </c>
      <c r="N674" s="21">
        <f>SUMPRODUCT(MAX((Брони!$B$2:$B$500=B674)*((Брони!$F$2:$F$500="Выдана")+(Брони!$F$2:$F$500="Возвращена"))*(Брони!$D$2:$D$500&lt;=A674)*Брони!$D$2:$D$500))</f>
        <v/>
      </c>
      <c r="O674" s="19">
        <f>SUMPRODUCT((Брони!$B$2:$B$500=B674)*(Брони!$D$2:$D$500=N674)*((((Брони!$F$2:$F$500="Выдана")*NOW())+((Брони!$F$2:$F$500="Возвращена")*Брони!$E$2:$E$500))&gt;=A674)*Брони!$A$2:$A$500)</f>
        <v/>
      </c>
      <c r="P674" s="19">
        <f>SUMPRODUCT((Брони!$B$2:$B$500=B674)*(Брони!$D$2:$D$500=N674)*(((Брони!$F$2:$F$500="Выдана")+(Брони!$F$2:$F$500="Возвращена"))))</f>
        <v/>
      </c>
      <c r="Q674" s="10" t="n"/>
    </row>
    <row r="675">
      <c r="A675" s="11" t="n"/>
      <c r="B675" s="10" t="n"/>
      <c r="C675" s="10" t="n"/>
      <c r="D675" s="14" t="n"/>
      <c r="E675" s="10" t="n"/>
      <c r="F675" s="20">
        <f>IF(OR(A675="",B675=""),"",IF(OR(NOT(ISNUMBER(A675)),ISERROR(N675+O675+P675)),"Проверьте даты",IF(AND(N675&gt;0,P675&gt;1),"Дубль",IF(AND(N675&gt;0,O675&gt;0),O675,"Вне аренды"))))</f>
        <v/>
      </c>
      <c r="G675" s="12">
        <f>IF(ISNUMBER(F675),IFERROR(INDEX(Брони!$C$2:$C$500,MATCH(F675,Брони!$A$2:$A$500,0)),""),"")</f>
        <v/>
      </c>
      <c r="H675" s="10" t="n"/>
      <c r="I675" s="18" t="n"/>
      <c r="J675" s="12">
        <f>IF(AND(ISNUMBER(F675),I675&lt;&gt;""),IFERROR(IF(AND(INDEX(Брони!$F$2:$F$500,MATCH(F675,Брони!$A$2:$A$500,0))="Возвращена",I675&gt;INDEX(Брони!$E$2:$E$500,MATCH(F675,Брони!$A$2:$A$500,0))),"Да",""),""),"")</f>
        <v/>
      </c>
      <c r="K675" s="10" t="n"/>
      <c r="L675" s="14" t="n"/>
      <c r="M675" s="15">
        <f>IF(OR(A675="",B675=""),"",IF(AND(ISNUMBER(F675),H675&lt;&gt;"Компания"),D675+L675,0))</f>
        <v/>
      </c>
      <c r="N675" s="21">
        <f>SUMPRODUCT(MAX((Брони!$B$2:$B$500=B675)*((Брони!$F$2:$F$500="Выдана")+(Брони!$F$2:$F$500="Возвращена"))*(Брони!$D$2:$D$500&lt;=A675)*Брони!$D$2:$D$500))</f>
        <v/>
      </c>
      <c r="O675" s="19">
        <f>SUMPRODUCT((Брони!$B$2:$B$500=B675)*(Брони!$D$2:$D$500=N675)*((((Брони!$F$2:$F$500="Выдана")*NOW())+((Брони!$F$2:$F$500="Возвращена")*Брони!$E$2:$E$500))&gt;=A675)*Брони!$A$2:$A$500)</f>
        <v/>
      </c>
      <c r="P675" s="19">
        <f>SUMPRODUCT((Брони!$B$2:$B$500=B675)*(Брони!$D$2:$D$500=N675)*(((Брони!$F$2:$F$500="Выдана")+(Брони!$F$2:$F$500="Возвращена"))))</f>
        <v/>
      </c>
      <c r="Q675" s="10" t="n"/>
    </row>
    <row r="676">
      <c r="A676" s="11" t="n"/>
      <c r="B676" s="10" t="n"/>
      <c r="C676" s="10" t="n"/>
      <c r="D676" s="14" t="n"/>
      <c r="E676" s="10" t="n"/>
      <c r="F676" s="20">
        <f>IF(OR(A676="",B676=""),"",IF(OR(NOT(ISNUMBER(A676)),ISERROR(N676+O676+P676)),"Проверьте даты",IF(AND(N676&gt;0,P676&gt;1),"Дубль",IF(AND(N676&gt;0,O676&gt;0),O676,"Вне аренды"))))</f>
        <v/>
      </c>
      <c r="G676" s="12">
        <f>IF(ISNUMBER(F676),IFERROR(INDEX(Брони!$C$2:$C$500,MATCH(F676,Брони!$A$2:$A$500,0)),""),"")</f>
        <v/>
      </c>
      <c r="H676" s="10" t="n"/>
      <c r="I676" s="18" t="n"/>
      <c r="J676" s="12">
        <f>IF(AND(ISNUMBER(F676),I676&lt;&gt;""),IFERROR(IF(AND(INDEX(Брони!$F$2:$F$500,MATCH(F676,Брони!$A$2:$A$500,0))="Возвращена",I676&gt;INDEX(Брони!$E$2:$E$500,MATCH(F676,Брони!$A$2:$A$500,0))),"Да",""),""),"")</f>
        <v/>
      </c>
      <c r="K676" s="10" t="n"/>
      <c r="L676" s="14" t="n"/>
      <c r="M676" s="15">
        <f>IF(OR(A676="",B676=""),"",IF(AND(ISNUMBER(F676),H676&lt;&gt;"Компания"),D676+L676,0))</f>
        <v/>
      </c>
      <c r="N676" s="21">
        <f>SUMPRODUCT(MAX((Брони!$B$2:$B$500=B676)*((Брони!$F$2:$F$500="Выдана")+(Брони!$F$2:$F$500="Возвращена"))*(Брони!$D$2:$D$500&lt;=A676)*Брони!$D$2:$D$500))</f>
        <v/>
      </c>
      <c r="O676" s="19">
        <f>SUMPRODUCT((Брони!$B$2:$B$500=B676)*(Брони!$D$2:$D$500=N676)*((((Брони!$F$2:$F$500="Выдана")*NOW())+((Брони!$F$2:$F$500="Возвращена")*Брони!$E$2:$E$500))&gt;=A676)*Брони!$A$2:$A$500)</f>
        <v/>
      </c>
      <c r="P676" s="19">
        <f>SUMPRODUCT((Брони!$B$2:$B$500=B676)*(Брони!$D$2:$D$500=N676)*(((Брони!$F$2:$F$500="Выдана")+(Брони!$F$2:$F$500="Возвращена"))))</f>
        <v/>
      </c>
      <c r="Q676" s="10" t="n"/>
    </row>
    <row r="677">
      <c r="A677" s="11" t="n"/>
      <c r="B677" s="10" t="n"/>
      <c r="C677" s="10" t="n"/>
      <c r="D677" s="14" t="n"/>
      <c r="E677" s="10" t="n"/>
      <c r="F677" s="20">
        <f>IF(OR(A677="",B677=""),"",IF(OR(NOT(ISNUMBER(A677)),ISERROR(N677+O677+P677)),"Проверьте даты",IF(AND(N677&gt;0,P677&gt;1),"Дубль",IF(AND(N677&gt;0,O677&gt;0),O677,"Вне аренды"))))</f>
        <v/>
      </c>
      <c r="G677" s="12">
        <f>IF(ISNUMBER(F677),IFERROR(INDEX(Брони!$C$2:$C$500,MATCH(F677,Брони!$A$2:$A$500,0)),""),"")</f>
        <v/>
      </c>
      <c r="H677" s="10" t="n"/>
      <c r="I677" s="18" t="n"/>
      <c r="J677" s="12">
        <f>IF(AND(ISNUMBER(F677),I677&lt;&gt;""),IFERROR(IF(AND(INDEX(Брони!$F$2:$F$500,MATCH(F677,Брони!$A$2:$A$500,0))="Возвращена",I677&gt;INDEX(Брони!$E$2:$E$500,MATCH(F677,Брони!$A$2:$A$500,0))),"Да",""),""),"")</f>
        <v/>
      </c>
      <c r="K677" s="10" t="n"/>
      <c r="L677" s="14" t="n"/>
      <c r="M677" s="15">
        <f>IF(OR(A677="",B677=""),"",IF(AND(ISNUMBER(F677),H677&lt;&gt;"Компания"),D677+L677,0))</f>
        <v/>
      </c>
      <c r="N677" s="21">
        <f>SUMPRODUCT(MAX((Брони!$B$2:$B$500=B677)*((Брони!$F$2:$F$500="Выдана")+(Брони!$F$2:$F$500="Возвращена"))*(Брони!$D$2:$D$500&lt;=A677)*Брони!$D$2:$D$500))</f>
        <v/>
      </c>
      <c r="O677" s="19">
        <f>SUMPRODUCT((Брони!$B$2:$B$500=B677)*(Брони!$D$2:$D$500=N677)*((((Брони!$F$2:$F$500="Выдана")*NOW())+((Брони!$F$2:$F$500="Возвращена")*Брони!$E$2:$E$500))&gt;=A677)*Брони!$A$2:$A$500)</f>
        <v/>
      </c>
      <c r="P677" s="19">
        <f>SUMPRODUCT((Брони!$B$2:$B$500=B677)*(Брони!$D$2:$D$500=N677)*(((Брони!$F$2:$F$500="Выдана")+(Брони!$F$2:$F$500="Возвращена"))))</f>
        <v/>
      </c>
      <c r="Q677" s="10" t="n"/>
    </row>
    <row r="678">
      <c r="A678" s="11" t="n"/>
      <c r="B678" s="10" t="n"/>
      <c r="C678" s="10" t="n"/>
      <c r="D678" s="14" t="n"/>
      <c r="E678" s="10" t="n"/>
      <c r="F678" s="20">
        <f>IF(OR(A678="",B678=""),"",IF(OR(NOT(ISNUMBER(A678)),ISERROR(N678+O678+P678)),"Проверьте даты",IF(AND(N678&gt;0,P678&gt;1),"Дубль",IF(AND(N678&gt;0,O678&gt;0),O678,"Вне аренды"))))</f>
        <v/>
      </c>
      <c r="G678" s="12">
        <f>IF(ISNUMBER(F678),IFERROR(INDEX(Брони!$C$2:$C$500,MATCH(F678,Брони!$A$2:$A$500,0)),""),"")</f>
        <v/>
      </c>
      <c r="H678" s="10" t="n"/>
      <c r="I678" s="18" t="n"/>
      <c r="J678" s="12">
        <f>IF(AND(ISNUMBER(F678),I678&lt;&gt;""),IFERROR(IF(AND(INDEX(Брони!$F$2:$F$500,MATCH(F678,Брони!$A$2:$A$500,0))="Возвращена",I678&gt;INDEX(Брони!$E$2:$E$500,MATCH(F678,Брони!$A$2:$A$500,0))),"Да",""),""),"")</f>
        <v/>
      </c>
      <c r="K678" s="10" t="n"/>
      <c r="L678" s="14" t="n"/>
      <c r="M678" s="15">
        <f>IF(OR(A678="",B678=""),"",IF(AND(ISNUMBER(F678),H678&lt;&gt;"Компания"),D678+L678,0))</f>
        <v/>
      </c>
      <c r="N678" s="21">
        <f>SUMPRODUCT(MAX((Брони!$B$2:$B$500=B678)*((Брони!$F$2:$F$500="Выдана")+(Брони!$F$2:$F$500="Возвращена"))*(Брони!$D$2:$D$500&lt;=A678)*Брони!$D$2:$D$500))</f>
        <v/>
      </c>
      <c r="O678" s="19">
        <f>SUMPRODUCT((Брони!$B$2:$B$500=B678)*(Брони!$D$2:$D$500=N678)*((((Брони!$F$2:$F$500="Выдана")*NOW())+((Брони!$F$2:$F$500="Возвращена")*Брони!$E$2:$E$500))&gt;=A678)*Брони!$A$2:$A$500)</f>
        <v/>
      </c>
      <c r="P678" s="19">
        <f>SUMPRODUCT((Брони!$B$2:$B$500=B678)*(Брони!$D$2:$D$500=N678)*(((Брони!$F$2:$F$500="Выдана")+(Брони!$F$2:$F$500="Возвращена"))))</f>
        <v/>
      </c>
      <c r="Q678" s="10" t="n"/>
    </row>
    <row r="679">
      <c r="A679" s="11" t="n"/>
      <c r="B679" s="10" t="n"/>
      <c r="C679" s="10" t="n"/>
      <c r="D679" s="14" t="n"/>
      <c r="E679" s="10" t="n"/>
      <c r="F679" s="20">
        <f>IF(OR(A679="",B679=""),"",IF(OR(NOT(ISNUMBER(A679)),ISERROR(N679+O679+P679)),"Проверьте даты",IF(AND(N679&gt;0,P679&gt;1),"Дубль",IF(AND(N679&gt;0,O679&gt;0),O679,"Вне аренды"))))</f>
        <v/>
      </c>
      <c r="G679" s="12">
        <f>IF(ISNUMBER(F679),IFERROR(INDEX(Брони!$C$2:$C$500,MATCH(F679,Брони!$A$2:$A$500,0)),""),"")</f>
        <v/>
      </c>
      <c r="H679" s="10" t="n"/>
      <c r="I679" s="18" t="n"/>
      <c r="J679" s="12">
        <f>IF(AND(ISNUMBER(F679),I679&lt;&gt;""),IFERROR(IF(AND(INDEX(Брони!$F$2:$F$500,MATCH(F679,Брони!$A$2:$A$500,0))="Возвращена",I679&gt;INDEX(Брони!$E$2:$E$500,MATCH(F679,Брони!$A$2:$A$500,0))),"Да",""),""),"")</f>
        <v/>
      </c>
      <c r="K679" s="10" t="n"/>
      <c r="L679" s="14" t="n"/>
      <c r="M679" s="15">
        <f>IF(OR(A679="",B679=""),"",IF(AND(ISNUMBER(F679),H679&lt;&gt;"Компания"),D679+L679,0))</f>
        <v/>
      </c>
      <c r="N679" s="21">
        <f>SUMPRODUCT(MAX((Брони!$B$2:$B$500=B679)*((Брони!$F$2:$F$500="Выдана")+(Брони!$F$2:$F$500="Возвращена"))*(Брони!$D$2:$D$500&lt;=A679)*Брони!$D$2:$D$500))</f>
        <v/>
      </c>
      <c r="O679" s="19">
        <f>SUMPRODUCT((Брони!$B$2:$B$500=B679)*(Брони!$D$2:$D$500=N679)*((((Брони!$F$2:$F$500="Выдана")*NOW())+((Брони!$F$2:$F$500="Возвращена")*Брони!$E$2:$E$500))&gt;=A679)*Брони!$A$2:$A$500)</f>
        <v/>
      </c>
      <c r="P679" s="19">
        <f>SUMPRODUCT((Брони!$B$2:$B$500=B679)*(Брони!$D$2:$D$500=N679)*(((Брони!$F$2:$F$500="Выдана")+(Брони!$F$2:$F$500="Возвращена"))))</f>
        <v/>
      </c>
      <c r="Q679" s="10" t="n"/>
    </row>
    <row r="680">
      <c r="A680" s="11" t="n"/>
      <c r="B680" s="10" t="n"/>
      <c r="C680" s="10" t="n"/>
      <c r="D680" s="14" t="n"/>
      <c r="E680" s="10" t="n"/>
      <c r="F680" s="20">
        <f>IF(OR(A680="",B680=""),"",IF(OR(NOT(ISNUMBER(A680)),ISERROR(N680+O680+P680)),"Проверьте даты",IF(AND(N680&gt;0,P680&gt;1),"Дубль",IF(AND(N680&gt;0,O680&gt;0),O680,"Вне аренды"))))</f>
        <v/>
      </c>
      <c r="G680" s="12">
        <f>IF(ISNUMBER(F680),IFERROR(INDEX(Брони!$C$2:$C$500,MATCH(F680,Брони!$A$2:$A$500,0)),""),"")</f>
        <v/>
      </c>
      <c r="H680" s="10" t="n"/>
      <c r="I680" s="18" t="n"/>
      <c r="J680" s="12">
        <f>IF(AND(ISNUMBER(F680),I680&lt;&gt;""),IFERROR(IF(AND(INDEX(Брони!$F$2:$F$500,MATCH(F680,Брони!$A$2:$A$500,0))="Возвращена",I680&gt;INDEX(Брони!$E$2:$E$500,MATCH(F680,Брони!$A$2:$A$500,0))),"Да",""),""),"")</f>
        <v/>
      </c>
      <c r="K680" s="10" t="n"/>
      <c r="L680" s="14" t="n"/>
      <c r="M680" s="15">
        <f>IF(OR(A680="",B680=""),"",IF(AND(ISNUMBER(F680),H680&lt;&gt;"Компания"),D680+L680,0))</f>
        <v/>
      </c>
      <c r="N680" s="21">
        <f>SUMPRODUCT(MAX((Брони!$B$2:$B$500=B680)*((Брони!$F$2:$F$500="Выдана")+(Брони!$F$2:$F$500="Возвращена"))*(Брони!$D$2:$D$500&lt;=A680)*Брони!$D$2:$D$500))</f>
        <v/>
      </c>
      <c r="O680" s="19">
        <f>SUMPRODUCT((Брони!$B$2:$B$500=B680)*(Брони!$D$2:$D$500=N680)*((((Брони!$F$2:$F$500="Выдана")*NOW())+((Брони!$F$2:$F$500="Возвращена")*Брони!$E$2:$E$500))&gt;=A680)*Брони!$A$2:$A$500)</f>
        <v/>
      </c>
      <c r="P680" s="19">
        <f>SUMPRODUCT((Брони!$B$2:$B$500=B680)*(Брони!$D$2:$D$500=N680)*(((Брони!$F$2:$F$500="Выдана")+(Брони!$F$2:$F$500="Возвращена"))))</f>
        <v/>
      </c>
      <c r="Q680" s="10" t="n"/>
    </row>
    <row r="681">
      <c r="A681" s="11" t="n"/>
      <c r="B681" s="10" t="n"/>
      <c r="C681" s="10" t="n"/>
      <c r="D681" s="14" t="n"/>
      <c r="E681" s="10" t="n"/>
      <c r="F681" s="20">
        <f>IF(OR(A681="",B681=""),"",IF(OR(NOT(ISNUMBER(A681)),ISERROR(N681+O681+P681)),"Проверьте даты",IF(AND(N681&gt;0,P681&gt;1),"Дубль",IF(AND(N681&gt;0,O681&gt;0),O681,"Вне аренды"))))</f>
        <v/>
      </c>
      <c r="G681" s="12">
        <f>IF(ISNUMBER(F681),IFERROR(INDEX(Брони!$C$2:$C$500,MATCH(F681,Брони!$A$2:$A$500,0)),""),"")</f>
        <v/>
      </c>
      <c r="H681" s="10" t="n"/>
      <c r="I681" s="18" t="n"/>
      <c r="J681" s="12">
        <f>IF(AND(ISNUMBER(F681),I681&lt;&gt;""),IFERROR(IF(AND(INDEX(Брони!$F$2:$F$500,MATCH(F681,Брони!$A$2:$A$500,0))="Возвращена",I681&gt;INDEX(Брони!$E$2:$E$500,MATCH(F681,Брони!$A$2:$A$500,0))),"Да",""),""),"")</f>
        <v/>
      </c>
      <c r="K681" s="10" t="n"/>
      <c r="L681" s="14" t="n"/>
      <c r="M681" s="15">
        <f>IF(OR(A681="",B681=""),"",IF(AND(ISNUMBER(F681),H681&lt;&gt;"Компания"),D681+L681,0))</f>
        <v/>
      </c>
      <c r="N681" s="21">
        <f>SUMPRODUCT(MAX((Брони!$B$2:$B$500=B681)*((Брони!$F$2:$F$500="Выдана")+(Брони!$F$2:$F$500="Возвращена"))*(Брони!$D$2:$D$500&lt;=A681)*Брони!$D$2:$D$500))</f>
        <v/>
      </c>
      <c r="O681" s="19">
        <f>SUMPRODUCT((Брони!$B$2:$B$500=B681)*(Брони!$D$2:$D$500=N681)*((((Брони!$F$2:$F$500="Выдана")*NOW())+((Брони!$F$2:$F$500="Возвращена")*Брони!$E$2:$E$500))&gt;=A681)*Брони!$A$2:$A$500)</f>
        <v/>
      </c>
      <c r="P681" s="19">
        <f>SUMPRODUCT((Брони!$B$2:$B$500=B681)*(Брони!$D$2:$D$500=N681)*(((Брони!$F$2:$F$500="Выдана")+(Брони!$F$2:$F$500="Возвращена"))))</f>
        <v/>
      </c>
      <c r="Q681" s="10" t="n"/>
    </row>
    <row r="682">
      <c r="A682" s="11" t="n"/>
      <c r="B682" s="10" t="n"/>
      <c r="C682" s="10" t="n"/>
      <c r="D682" s="14" t="n"/>
      <c r="E682" s="10" t="n"/>
      <c r="F682" s="20">
        <f>IF(OR(A682="",B682=""),"",IF(OR(NOT(ISNUMBER(A682)),ISERROR(N682+O682+P682)),"Проверьте даты",IF(AND(N682&gt;0,P682&gt;1),"Дубль",IF(AND(N682&gt;0,O682&gt;0),O682,"Вне аренды"))))</f>
        <v/>
      </c>
      <c r="G682" s="12">
        <f>IF(ISNUMBER(F682),IFERROR(INDEX(Брони!$C$2:$C$500,MATCH(F682,Брони!$A$2:$A$500,0)),""),"")</f>
        <v/>
      </c>
      <c r="H682" s="10" t="n"/>
      <c r="I682" s="18" t="n"/>
      <c r="J682" s="12">
        <f>IF(AND(ISNUMBER(F682),I682&lt;&gt;""),IFERROR(IF(AND(INDEX(Брони!$F$2:$F$500,MATCH(F682,Брони!$A$2:$A$500,0))="Возвращена",I682&gt;INDEX(Брони!$E$2:$E$500,MATCH(F682,Брони!$A$2:$A$500,0))),"Да",""),""),"")</f>
        <v/>
      </c>
      <c r="K682" s="10" t="n"/>
      <c r="L682" s="14" t="n"/>
      <c r="M682" s="15">
        <f>IF(OR(A682="",B682=""),"",IF(AND(ISNUMBER(F682),H682&lt;&gt;"Компания"),D682+L682,0))</f>
        <v/>
      </c>
      <c r="N682" s="21">
        <f>SUMPRODUCT(MAX((Брони!$B$2:$B$500=B682)*((Брони!$F$2:$F$500="Выдана")+(Брони!$F$2:$F$500="Возвращена"))*(Брони!$D$2:$D$500&lt;=A682)*Брони!$D$2:$D$500))</f>
        <v/>
      </c>
      <c r="O682" s="19">
        <f>SUMPRODUCT((Брони!$B$2:$B$500=B682)*(Брони!$D$2:$D$500=N682)*((((Брони!$F$2:$F$500="Выдана")*NOW())+((Брони!$F$2:$F$500="Возвращена")*Брони!$E$2:$E$500))&gt;=A682)*Брони!$A$2:$A$500)</f>
        <v/>
      </c>
      <c r="P682" s="19">
        <f>SUMPRODUCT((Брони!$B$2:$B$500=B682)*(Брони!$D$2:$D$500=N682)*(((Брони!$F$2:$F$500="Выдана")+(Брони!$F$2:$F$500="Возвращена"))))</f>
        <v/>
      </c>
      <c r="Q682" s="10" t="n"/>
    </row>
    <row r="683">
      <c r="A683" s="11" t="n"/>
      <c r="B683" s="10" t="n"/>
      <c r="C683" s="10" t="n"/>
      <c r="D683" s="14" t="n"/>
      <c r="E683" s="10" t="n"/>
      <c r="F683" s="20">
        <f>IF(OR(A683="",B683=""),"",IF(OR(NOT(ISNUMBER(A683)),ISERROR(N683+O683+P683)),"Проверьте даты",IF(AND(N683&gt;0,P683&gt;1),"Дубль",IF(AND(N683&gt;0,O683&gt;0),O683,"Вне аренды"))))</f>
        <v/>
      </c>
      <c r="G683" s="12">
        <f>IF(ISNUMBER(F683),IFERROR(INDEX(Брони!$C$2:$C$500,MATCH(F683,Брони!$A$2:$A$500,0)),""),"")</f>
        <v/>
      </c>
      <c r="H683" s="10" t="n"/>
      <c r="I683" s="18" t="n"/>
      <c r="J683" s="12">
        <f>IF(AND(ISNUMBER(F683),I683&lt;&gt;""),IFERROR(IF(AND(INDEX(Брони!$F$2:$F$500,MATCH(F683,Брони!$A$2:$A$500,0))="Возвращена",I683&gt;INDEX(Брони!$E$2:$E$500,MATCH(F683,Брони!$A$2:$A$500,0))),"Да",""),""),"")</f>
        <v/>
      </c>
      <c r="K683" s="10" t="n"/>
      <c r="L683" s="14" t="n"/>
      <c r="M683" s="15">
        <f>IF(OR(A683="",B683=""),"",IF(AND(ISNUMBER(F683),H683&lt;&gt;"Компания"),D683+L683,0))</f>
        <v/>
      </c>
      <c r="N683" s="21">
        <f>SUMPRODUCT(MAX((Брони!$B$2:$B$500=B683)*((Брони!$F$2:$F$500="Выдана")+(Брони!$F$2:$F$500="Возвращена"))*(Брони!$D$2:$D$500&lt;=A683)*Брони!$D$2:$D$500))</f>
        <v/>
      </c>
      <c r="O683" s="19">
        <f>SUMPRODUCT((Брони!$B$2:$B$500=B683)*(Брони!$D$2:$D$500=N683)*((((Брони!$F$2:$F$500="Выдана")*NOW())+((Брони!$F$2:$F$500="Возвращена")*Брони!$E$2:$E$500))&gt;=A683)*Брони!$A$2:$A$500)</f>
        <v/>
      </c>
      <c r="P683" s="19">
        <f>SUMPRODUCT((Брони!$B$2:$B$500=B683)*(Брони!$D$2:$D$500=N683)*(((Брони!$F$2:$F$500="Выдана")+(Брони!$F$2:$F$500="Возвращена"))))</f>
        <v/>
      </c>
      <c r="Q683" s="10" t="n"/>
    </row>
    <row r="684">
      <c r="A684" s="11" t="n"/>
      <c r="B684" s="10" t="n"/>
      <c r="C684" s="10" t="n"/>
      <c r="D684" s="14" t="n"/>
      <c r="E684" s="10" t="n"/>
      <c r="F684" s="20">
        <f>IF(OR(A684="",B684=""),"",IF(OR(NOT(ISNUMBER(A684)),ISERROR(N684+O684+P684)),"Проверьте даты",IF(AND(N684&gt;0,P684&gt;1),"Дубль",IF(AND(N684&gt;0,O684&gt;0),O684,"Вне аренды"))))</f>
        <v/>
      </c>
      <c r="G684" s="12">
        <f>IF(ISNUMBER(F684),IFERROR(INDEX(Брони!$C$2:$C$500,MATCH(F684,Брони!$A$2:$A$500,0)),""),"")</f>
        <v/>
      </c>
      <c r="H684" s="10" t="n"/>
      <c r="I684" s="18" t="n"/>
      <c r="J684" s="12">
        <f>IF(AND(ISNUMBER(F684),I684&lt;&gt;""),IFERROR(IF(AND(INDEX(Брони!$F$2:$F$500,MATCH(F684,Брони!$A$2:$A$500,0))="Возвращена",I684&gt;INDEX(Брони!$E$2:$E$500,MATCH(F684,Брони!$A$2:$A$500,0))),"Да",""),""),"")</f>
        <v/>
      </c>
      <c r="K684" s="10" t="n"/>
      <c r="L684" s="14" t="n"/>
      <c r="M684" s="15">
        <f>IF(OR(A684="",B684=""),"",IF(AND(ISNUMBER(F684),H684&lt;&gt;"Компания"),D684+L684,0))</f>
        <v/>
      </c>
      <c r="N684" s="21">
        <f>SUMPRODUCT(MAX((Брони!$B$2:$B$500=B684)*((Брони!$F$2:$F$500="Выдана")+(Брони!$F$2:$F$500="Возвращена"))*(Брони!$D$2:$D$500&lt;=A684)*Брони!$D$2:$D$500))</f>
        <v/>
      </c>
      <c r="O684" s="19">
        <f>SUMPRODUCT((Брони!$B$2:$B$500=B684)*(Брони!$D$2:$D$500=N684)*((((Брони!$F$2:$F$500="Выдана")*NOW())+((Брони!$F$2:$F$500="Возвращена")*Брони!$E$2:$E$500))&gt;=A684)*Брони!$A$2:$A$500)</f>
        <v/>
      </c>
      <c r="P684" s="19">
        <f>SUMPRODUCT((Брони!$B$2:$B$500=B684)*(Брони!$D$2:$D$500=N684)*(((Брони!$F$2:$F$500="Выдана")+(Брони!$F$2:$F$500="Возвращена"))))</f>
        <v/>
      </c>
      <c r="Q684" s="10" t="n"/>
    </row>
    <row r="685">
      <c r="A685" s="11" t="n"/>
      <c r="B685" s="10" t="n"/>
      <c r="C685" s="10" t="n"/>
      <c r="D685" s="14" t="n"/>
      <c r="E685" s="10" t="n"/>
      <c r="F685" s="20">
        <f>IF(OR(A685="",B685=""),"",IF(OR(NOT(ISNUMBER(A685)),ISERROR(N685+O685+P685)),"Проверьте даты",IF(AND(N685&gt;0,P685&gt;1),"Дубль",IF(AND(N685&gt;0,O685&gt;0),O685,"Вне аренды"))))</f>
        <v/>
      </c>
      <c r="G685" s="12">
        <f>IF(ISNUMBER(F685),IFERROR(INDEX(Брони!$C$2:$C$500,MATCH(F685,Брони!$A$2:$A$500,0)),""),"")</f>
        <v/>
      </c>
      <c r="H685" s="10" t="n"/>
      <c r="I685" s="18" t="n"/>
      <c r="J685" s="12">
        <f>IF(AND(ISNUMBER(F685),I685&lt;&gt;""),IFERROR(IF(AND(INDEX(Брони!$F$2:$F$500,MATCH(F685,Брони!$A$2:$A$500,0))="Возвращена",I685&gt;INDEX(Брони!$E$2:$E$500,MATCH(F685,Брони!$A$2:$A$500,0))),"Да",""),""),"")</f>
        <v/>
      </c>
      <c r="K685" s="10" t="n"/>
      <c r="L685" s="14" t="n"/>
      <c r="M685" s="15">
        <f>IF(OR(A685="",B685=""),"",IF(AND(ISNUMBER(F685),H685&lt;&gt;"Компания"),D685+L685,0))</f>
        <v/>
      </c>
      <c r="N685" s="21">
        <f>SUMPRODUCT(MAX((Брони!$B$2:$B$500=B685)*((Брони!$F$2:$F$500="Выдана")+(Брони!$F$2:$F$500="Возвращена"))*(Брони!$D$2:$D$500&lt;=A685)*Брони!$D$2:$D$500))</f>
        <v/>
      </c>
      <c r="O685" s="19">
        <f>SUMPRODUCT((Брони!$B$2:$B$500=B685)*(Брони!$D$2:$D$500=N685)*((((Брони!$F$2:$F$500="Выдана")*NOW())+((Брони!$F$2:$F$500="Возвращена")*Брони!$E$2:$E$500))&gt;=A685)*Брони!$A$2:$A$500)</f>
        <v/>
      </c>
      <c r="P685" s="19">
        <f>SUMPRODUCT((Брони!$B$2:$B$500=B685)*(Брони!$D$2:$D$500=N685)*(((Брони!$F$2:$F$500="Выдана")+(Брони!$F$2:$F$500="Возвращена"))))</f>
        <v/>
      </c>
      <c r="Q685" s="10" t="n"/>
    </row>
    <row r="686">
      <c r="A686" s="11" t="n"/>
      <c r="B686" s="10" t="n"/>
      <c r="C686" s="10" t="n"/>
      <c r="D686" s="14" t="n"/>
      <c r="E686" s="10" t="n"/>
      <c r="F686" s="20">
        <f>IF(OR(A686="",B686=""),"",IF(OR(NOT(ISNUMBER(A686)),ISERROR(N686+O686+P686)),"Проверьте даты",IF(AND(N686&gt;0,P686&gt;1),"Дубль",IF(AND(N686&gt;0,O686&gt;0),O686,"Вне аренды"))))</f>
        <v/>
      </c>
      <c r="G686" s="12">
        <f>IF(ISNUMBER(F686),IFERROR(INDEX(Брони!$C$2:$C$500,MATCH(F686,Брони!$A$2:$A$500,0)),""),"")</f>
        <v/>
      </c>
      <c r="H686" s="10" t="n"/>
      <c r="I686" s="18" t="n"/>
      <c r="J686" s="12">
        <f>IF(AND(ISNUMBER(F686),I686&lt;&gt;""),IFERROR(IF(AND(INDEX(Брони!$F$2:$F$500,MATCH(F686,Брони!$A$2:$A$500,0))="Возвращена",I686&gt;INDEX(Брони!$E$2:$E$500,MATCH(F686,Брони!$A$2:$A$500,0))),"Да",""),""),"")</f>
        <v/>
      </c>
      <c r="K686" s="10" t="n"/>
      <c r="L686" s="14" t="n"/>
      <c r="M686" s="15">
        <f>IF(OR(A686="",B686=""),"",IF(AND(ISNUMBER(F686),H686&lt;&gt;"Компания"),D686+L686,0))</f>
        <v/>
      </c>
      <c r="N686" s="21">
        <f>SUMPRODUCT(MAX((Брони!$B$2:$B$500=B686)*((Брони!$F$2:$F$500="Выдана")+(Брони!$F$2:$F$500="Возвращена"))*(Брони!$D$2:$D$500&lt;=A686)*Брони!$D$2:$D$500))</f>
        <v/>
      </c>
      <c r="O686" s="19">
        <f>SUMPRODUCT((Брони!$B$2:$B$500=B686)*(Брони!$D$2:$D$500=N686)*((((Брони!$F$2:$F$500="Выдана")*NOW())+((Брони!$F$2:$F$500="Возвращена")*Брони!$E$2:$E$500))&gt;=A686)*Брони!$A$2:$A$500)</f>
        <v/>
      </c>
      <c r="P686" s="19">
        <f>SUMPRODUCT((Брони!$B$2:$B$500=B686)*(Брони!$D$2:$D$500=N686)*(((Брони!$F$2:$F$500="Выдана")+(Брони!$F$2:$F$500="Возвращена"))))</f>
        <v/>
      </c>
      <c r="Q686" s="10" t="n"/>
    </row>
    <row r="687">
      <c r="A687" s="11" t="n"/>
      <c r="B687" s="10" t="n"/>
      <c r="C687" s="10" t="n"/>
      <c r="D687" s="14" t="n"/>
      <c r="E687" s="10" t="n"/>
      <c r="F687" s="20">
        <f>IF(OR(A687="",B687=""),"",IF(OR(NOT(ISNUMBER(A687)),ISERROR(N687+O687+P687)),"Проверьте даты",IF(AND(N687&gt;0,P687&gt;1),"Дубль",IF(AND(N687&gt;0,O687&gt;0),O687,"Вне аренды"))))</f>
        <v/>
      </c>
      <c r="G687" s="12">
        <f>IF(ISNUMBER(F687),IFERROR(INDEX(Брони!$C$2:$C$500,MATCH(F687,Брони!$A$2:$A$500,0)),""),"")</f>
        <v/>
      </c>
      <c r="H687" s="10" t="n"/>
      <c r="I687" s="18" t="n"/>
      <c r="J687" s="12">
        <f>IF(AND(ISNUMBER(F687),I687&lt;&gt;""),IFERROR(IF(AND(INDEX(Брони!$F$2:$F$500,MATCH(F687,Брони!$A$2:$A$500,0))="Возвращена",I687&gt;INDEX(Брони!$E$2:$E$500,MATCH(F687,Брони!$A$2:$A$500,0))),"Да",""),""),"")</f>
        <v/>
      </c>
      <c r="K687" s="10" t="n"/>
      <c r="L687" s="14" t="n"/>
      <c r="M687" s="15">
        <f>IF(OR(A687="",B687=""),"",IF(AND(ISNUMBER(F687),H687&lt;&gt;"Компания"),D687+L687,0))</f>
        <v/>
      </c>
      <c r="N687" s="21">
        <f>SUMPRODUCT(MAX((Брони!$B$2:$B$500=B687)*((Брони!$F$2:$F$500="Выдана")+(Брони!$F$2:$F$500="Возвращена"))*(Брони!$D$2:$D$500&lt;=A687)*Брони!$D$2:$D$500))</f>
        <v/>
      </c>
      <c r="O687" s="19">
        <f>SUMPRODUCT((Брони!$B$2:$B$500=B687)*(Брони!$D$2:$D$500=N687)*((((Брони!$F$2:$F$500="Выдана")*NOW())+((Брони!$F$2:$F$500="Возвращена")*Брони!$E$2:$E$500))&gt;=A687)*Брони!$A$2:$A$500)</f>
        <v/>
      </c>
      <c r="P687" s="19">
        <f>SUMPRODUCT((Брони!$B$2:$B$500=B687)*(Брони!$D$2:$D$500=N687)*(((Брони!$F$2:$F$500="Выдана")+(Брони!$F$2:$F$500="Возвращена"))))</f>
        <v/>
      </c>
      <c r="Q687" s="10" t="n"/>
    </row>
    <row r="688">
      <c r="A688" s="11" t="n"/>
      <c r="B688" s="10" t="n"/>
      <c r="C688" s="10" t="n"/>
      <c r="D688" s="14" t="n"/>
      <c r="E688" s="10" t="n"/>
      <c r="F688" s="20">
        <f>IF(OR(A688="",B688=""),"",IF(OR(NOT(ISNUMBER(A688)),ISERROR(N688+O688+P688)),"Проверьте даты",IF(AND(N688&gt;0,P688&gt;1),"Дубль",IF(AND(N688&gt;0,O688&gt;0),O688,"Вне аренды"))))</f>
        <v/>
      </c>
      <c r="G688" s="12">
        <f>IF(ISNUMBER(F688),IFERROR(INDEX(Брони!$C$2:$C$500,MATCH(F688,Брони!$A$2:$A$500,0)),""),"")</f>
        <v/>
      </c>
      <c r="H688" s="10" t="n"/>
      <c r="I688" s="18" t="n"/>
      <c r="J688" s="12">
        <f>IF(AND(ISNUMBER(F688),I688&lt;&gt;""),IFERROR(IF(AND(INDEX(Брони!$F$2:$F$500,MATCH(F688,Брони!$A$2:$A$500,0))="Возвращена",I688&gt;INDEX(Брони!$E$2:$E$500,MATCH(F688,Брони!$A$2:$A$500,0))),"Да",""),""),"")</f>
        <v/>
      </c>
      <c r="K688" s="10" t="n"/>
      <c r="L688" s="14" t="n"/>
      <c r="M688" s="15">
        <f>IF(OR(A688="",B688=""),"",IF(AND(ISNUMBER(F688),H688&lt;&gt;"Компания"),D688+L688,0))</f>
        <v/>
      </c>
      <c r="N688" s="21">
        <f>SUMPRODUCT(MAX((Брони!$B$2:$B$500=B688)*((Брони!$F$2:$F$500="Выдана")+(Брони!$F$2:$F$500="Возвращена"))*(Брони!$D$2:$D$500&lt;=A688)*Брони!$D$2:$D$500))</f>
        <v/>
      </c>
      <c r="O688" s="19">
        <f>SUMPRODUCT((Брони!$B$2:$B$500=B688)*(Брони!$D$2:$D$500=N688)*((((Брони!$F$2:$F$500="Выдана")*NOW())+((Брони!$F$2:$F$500="Возвращена")*Брони!$E$2:$E$500))&gt;=A688)*Брони!$A$2:$A$500)</f>
        <v/>
      </c>
      <c r="P688" s="19">
        <f>SUMPRODUCT((Брони!$B$2:$B$500=B688)*(Брони!$D$2:$D$500=N688)*(((Брони!$F$2:$F$500="Выдана")+(Брони!$F$2:$F$500="Возвращена"))))</f>
        <v/>
      </c>
      <c r="Q688" s="10" t="n"/>
    </row>
    <row r="689">
      <c r="A689" s="11" t="n"/>
      <c r="B689" s="10" t="n"/>
      <c r="C689" s="10" t="n"/>
      <c r="D689" s="14" t="n"/>
      <c r="E689" s="10" t="n"/>
      <c r="F689" s="20">
        <f>IF(OR(A689="",B689=""),"",IF(OR(NOT(ISNUMBER(A689)),ISERROR(N689+O689+P689)),"Проверьте даты",IF(AND(N689&gt;0,P689&gt;1),"Дубль",IF(AND(N689&gt;0,O689&gt;0),O689,"Вне аренды"))))</f>
        <v/>
      </c>
      <c r="G689" s="12">
        <f>IF(ISNUMBER(F689),IFERROR(INDEX(Брони!$C$2:$C$500,MATCH(F689,Брони!$A$2:$A$500,0)),""),"")</f>
        <v/>
      </c>
      <c r="H689" s="10" t="n"/>
      <c r="I689" s="18" t="n"/>
      <c r="J689" s="12">
        <f>IF(AND(ISNUMBER(F689),I689&lt;&gt;""),IFERROR(IF(AND(INDEX(Брони!$F$2:$F$500,MATCH(F689,Брони!$A$2:$A$500,0))="Возвращена",I689&gt;INDEX(Брони!$E$2:$E$500,MATCH(F689,Брони!$A$2:$A$500,0))),"Да",""),""),"")</f>
        <v/>
      </c>
      <c r="K689" s="10" t="n"/>
      <c r="L689" s="14" t="n"/>
      <c r="M689" s="15">
        <f>IF(OR(A689="",B689=""),"",IF(AND(ISNUMBER(F689),H689&lt;&gt;"Компания"),D689+L689,0))</f>
        <v/>
      </c>
      <c r="N689" s="21">
        <f>SUMPRODUCT(MAX((Брони!$B$2:$B$500=B689)*((Брони!$F$2:$F$500="Выдана")+(Брони!$F$2:$F$500="Возвращена"))*(Брони!$D$2:$D$500&lt;=A689)*Брони!$D$2:$D$500))</f>
        <v/>
      </c>
      <c r="O689" s="19">
        <f>SUMPRODUCT((Брони!$B$2:$B$500=B689)*(Брони!$D$2:$D$500=N689)*((((Брони!$F$2:$F$500="Выдана")*NOW())+((Брони!$F$2:$F$500="Возвращена")*Брони!$E$2:$E$500))&gt;=A689)*Брони!$A$2:$A$500)</f>
        <v/>
      </c>
      <c r="P689" s="19">
        <f>SUMPRODUCT((Брони!$B$2:$B$500=B689)*(Брони!$D$2:$D$500=N689)*(((Брони!$F$2:$F$500="Выдана")+(Брони!$F$2:$F$500="Возвращена"))))</f>
        <v/>
      </c>
      <c r="Q689" s="10" t="n"/>
    </row>
    <row r="690">
      <c r="A690" s="11" t="n"/>
      <c r="B690" s="10" t="n"/>
      <c r="C690" s="10" t="n"/>
      <c r="D690" s="14" t="n"/>
      <c r="E690" s="10" t="n"/>
      <c r="F690" s="20">
        <f>IF(OR(A690="",B690=""),"",IF(OR(NOT(ISNUMBER(A690)),ISERROR(N690+O690+P690)),"Проверьте даты",IF(AND(N690&gt;0,P690&gt;1),"Дубль",IF(AND(N690&gt;0,O690&gt;0),O690,"Вне аренды"))))</f>
        <v/>
      </c>
      <c r="G690" s="12">
        <f>IF(ISNUMBER(F690),IFERROR(INDEX(Брони!$C$2:$C$500,MATCH(F690,Брони!$A$2:$A$500,0)),""),"")</f>
        <v/>
      </c>
      <c r="H690" s="10" t="n"/>
      <c r="I690" s="18" t="n"/>
      <c r="J690" s="12">
        <f>IF(AND(ISNUMBER(F690),I690&lt;&gt;""),IFERROR(IF(AND(INDEX(Брони!$F$2:$F$500,MATCH(F690,Брони!$A$2:$A$500,0))="Возвращена",I690&gt;INDEX(Брони!$E$2:$E$500,MATCH(F690,Брони!$A$2:$A$500,0))),"Да",""),""),"")</f>
        <v/>
      </c>
      <c r="K690" s="10" t="n"/>
      <c r="L690" s="14" t="n"/>
      <c r="M690" s="15">
        <f>IF(OR(A690="",B690=""),"",IF(AND(ISNUMBER(F690),H690&lt;&gt;"Компания"),D690+L690,0))</f>
        <v/>
      </c>
      <c r="N690" s="21">
        <f>SUMPRODUCT(MAX((Брони!$B$2:$B$500=B690)*((Брони!$F$2:$F$500="Выдана")+(Брони!$F$2:$F$500="Возвращена"))*(Брони!$D$2:$D$500&lt;=A690)*Брони!$D$2:$D$500))</f>
        <v/>
      </c>
      <c r="O690" s="19">
        <f>SUMPRODUCT((Брони!$B$2:$B$500=B690)*(Брони!$D$2:$D$500=N690)*((((Брони!$F$2:$F$500="Выдана")*NOW())+((Брони!$F$2:$F$500="Возвращена")*Брони!$E$2:$E$500))&gt;=A690)*Брони!$A$2:$A$500)</f>
        <v/>
      </c>
      <c r="P690" s="19">
        <f>SUMPRODUCT((Брони!$B$2:$B$500=B690)*(Брони!$D$2:$D$500=N690)*(((Брони!$F$2:$F$500="Выдана")+(Брони!$F$2:$F$500="Возвращена"))))</f>
        <v/>
      </c>
      <c r="Q690" s="10" t="n"/>
    </row>
    <row r="691">
      <c r="A691" s="11" t="n"/>
      <c r="B691" s="10" t="n"/>
      <c r="C691" s="10" t="n"/>
      <c r="D691" s="14" t="n"/>
      <c r="E691" s="10" t="n"/>
      <c r="F691" s="20">
        <f>IF(OR(A691="",B691=""),"",IF(OR(NOT(ISNUMBER(A691)),ISERROR(N691+O691+P691)),"Проверьте даты",IF(AND(N691&gt;0,P691&gt;1),"Дубль",IF(AND(N691&gt;0,O691&gt;0),O691,"Вне аренды"))))</f>
        <v/>
      </c>
      <c r="G691" s="12">
        <f>IF(ISNUMBER(F691),IFERROR(INDEX(Брони!$C$2:$C$500,MATCH(F691,Брони!$A$2:$A$500,0)),""),"")</f>
        <v/>
      </c>
      <c r="H691" s="10" t="n"/>
      <c r="I691" s="18" t="n"/>
      <c r="J691" s="12">
        <f>IF(AND(ISNUMBER(F691),I691&lt;&gt;""),IFERROR(IF(AND(INDEX(Брони!$F$2:$F$500,MATCH(F691,Брони!$A$2:$A$500,0))="Возвращена",I691&gt;INDEX(Брони!$E$2:$E$500,MATCH(F691,Брони!$A$2:$A$500,0))),"Да",""),""),"")</f>
        <v/>
      </c>
      <c r="K691" s="10" t="n"/>
      <c r="L691" s="14" t="n"/>
      <c r="M691" s="15">
        <f>IF(OR(A691="",B691=""),"",IF(AND(ISNUMBER(F691),H691&lt;&gt;"Компания"),D691+L691,0))</f>
        <v/>
      </c>
      <c r="N691" s="21">
        <f>SUMPRODUCT(MAX((Брони!$B$2:$B$500=B691)*((Брони!$F$2:$F$500="Выдана")+(Брони!$F$2:$F$500="Возвращена"))*(Брони!$D$2:$D$500&lt;=A691)*Брони!$D$2:$D$500))</f>
        <v/>
      </c>
      <c r="O691" s="19">
        <f>SUMPRODUCT((Брони!$B$2:$B$500=B691)*(Брони!$D$2:$D$500=N691)*((((Брони!$F$2:$F$500="Выдана")*NOW())+((Брони!$F$2:$F$500="Возвращена")*Брони!$E$2:$E$500))&gt;=A691)*Брони!$A$2:$A$500)</f>
        <v/>
      </c>
      <c r="P691" s="19">
        <f>SUMPRODUCT((Брони!$B$2:$B$500=B691)*(Брони!$D$2:$D$500=N691)*(((Брони!$F$2:$F$500="Выдана")+(Брони!$F$2:$F$500="Возвращена"))))</f>
        <v/>
      </c>
      <c r="Q691" s="10" t="n"/>
    </row>
    <row r="692">
      <c r="A692" s="11" t="n"/>
      <c r="B692" s="10" t="n"/>
      <c r="C692" s="10" t="n"/>
      <c r="D692" s="14" t="n"/>
      <c r="E692" s="10" t="n"/>
      <c r="F692" s="20">
        <f>IF(OR(A692="",B692=""),"",IF(OR(NOT(ISNUMBER(A692)),ISERROR(N692+O692+P692)),"Проверьте даты",IF(AND(N692&gt;0,P692&gt;1),"Дубль",IF(AND(N692&gt;0,O692&gt;0),O692,"Вне аренды"))))</f>
        <v/>
      </c>
      <c r="G692" s="12">
        <f>IF(ISNUMBER(F692),IFERROR(INDEX(Брони!$C$2:$C$500,MATCH(F692,Брони!$A$2:$A$500,0)),""),"")</f>
        <v/>
      </c>
      <c r="H692" s="10" t="n"/>
      <c r="I692" s="18" t="n"/>
      <c r="J692" s="12">
        <f>IF(AND(ISNUMBER(F692),I692&lt;&gt;""),IFERROR(IF(AND(INDEX(Брони!$F$2:$F$500,MATCH(F692,Брони!$A$2:$A$500,0))="Возвращена",I692&gt;INDEX(Брони!$E$2:$E$500,MATCH(F692,Брони!$A$2:$A$500,0))),"Да",""),""),"")</f>
        <v/>
      </c>
      <c r="K692" s="10" t="n"/>
      <c r="L692" s="14" t="n"/>
      <c r="M692" s="15">
        <f>IF(OR(A692="",B692=""),"",IF(AND(ISNUMBER(F692),H692&lt;&gt;"Компания"),D692+L692,0))</f>
        <v/>
      </c>
      <c r="N692" s="21">
        <f>SUMPRODUCT(MAX((Брони!$B$2:$B$500=B692)*((Брони!$F$2:$F$500="Выдана")+(Брони!$F$2:$F$500="Возвращена"))*(Брони!$D$2:$D$500&lt;=A692)*Брони!$D$2:$D$500))</f>
        <v/>
      </c>
      <c r="O692" s="19">
        <f>SUMPRODUCT((Брони!$B$2:$B$500=B692)*(Брони!$D$2:$D$500=N692)*((((Брони!$F$2:$F$500="Выдана")*NOW())+((Брони!$F$2:$F$500="Возвращена")*Брони!$E$2:$E$500))&gt;=A692)*Брони!$A$2:$A$500)</f>
        <v/>
      </c>
      <c r="P692" s="19">
        <f>SUMPRODUCT((Брони!$B$2:$B$500=B692)*(Брони!$D$2:$D$500=N692)*(((Брони!$F$2:$F$500="Выдана")+(Брони!$F$2:$F$500="Возвращена"))))</f>
        <v/>
      </c>
      <c r="Q692" s="10" t="n"/>
    </row>
    <row r="693">
      <c r="A693" s="11" t="n"/>
      <c r="B693" s="10" t="n"/>
      <c r="C693" s="10" t="n"/>
      <c r="D693" s="14" t="n"/>
      <c r="E693" s="10" t="n"/>
      <c r="F693" s="20">
        <f>IF(OR(A693="",B693=""),"",IF(OR(NOT(ISNUMBER(A693)),ISERROR(N693+O693+P693)),"Проверьте даты",IF(AND(N693&gt;0,P693&gt;1),"Дубль",IF(AND(N693&gt;0,O693&gt;0),O693,"Вне аренды"))))</f>
        <v/>
      </c>
      <c r="G693" s="12">
        <f>IF(ISNUMBER(F693),IFERROR(INDEX(Брони!$C$2:$C$500,MATCH(F693,Брони!$A$2:$A$500,0)),""),"")</f>
        <v/>
      </c>
      <c r="H693" s="10" t="n"/>
      <c r="I693" s="18" t="n"/>
      <c r="J693" s="12">
        <f>IF(AND(ISNUMBER(F693),I693&lt;&gt;""),IFERROR(IF(AND(INDEX(Брони!$F$2:$F$500,MATCH(F693,Брони!$A$2:$A$500,0))="Возвращена",I693&gt;INDEX(Брони!$E$2:$E$500,MATCH(F693,Брони!$A$2:$A$500,0))),"Да",""),""),"")</f>
        <v/>
      </c>
      <c r="K693" s="10" t="n"/>
      <c r="L693" s="14" t="n"/>
      <c r="M693" s="15">
        <f>IF(OR(A693="",B693=""),"",IF(AND(ISNUMBER(F693),H693&lt;&gt;"Компания"),D693+L693,0))</f>
        <v/>
      </c>
      <c r="N693" s="21">
        <f>SUMPRODUCT(MAX((Брони!$B$2:$B$500=B693)*((Брони!$F$2:$F$500="Выдана")+(Брони!$F$2:$F$500="Возвращена"))*(Брони!$D$2:$D$500&lt;=A693)*Брони!$D$2:$D$500))</f>
        <v/>
      </c>
      <c r="O693" s="19">
        <f>SUMPRODUCT((Брони!$B$2:$B$500=B693)*(Брони!$D$2:$D$500=N693)*((((Брони!$F$2:$F$500="Выдана")*NOW())+((Брони!$F$2:$F$500="Возвращена")*Брони!$E$2:$E$500))&gt;=A693)*Брони!$A$2:$A$500)</f>
        <v/>
      </c>
      <c r="P693" s="19">
        <f>SUMPRODUCT((Брони!$B$2:$B$500=B693)*(Брони!$D$2:$D$500=N693)*(((Брони!$F$2:$F$500="Выдана")+(Брони!$F$2:$F$500="Возвращена"))))</f>
        <v/>
      </c>
      <c r="Q693" s="10" t="n"/>
    </row>
    <row r="694">
      <c r="A694" s="11" t="n"/>
      <c r="B694" s="10" t="n"/>
      <c r="C694" s="10" t="n"/>
      <c r="D694" s="14" t="n"/>
      <c r="E694" s="10" t="n"/>
      <c r="F694" s="20">
        <f>IF(OR(A694="",B694=""),"",IF(OR(NOT(ISNUMBER(A694)),ISERROR(N694+O694+P694)),"Проверьте даты",IF(AND(N694&gt;0,P694&gt;1),"Дубль",IF(AND(N694&gt;0,O694&gt;0),O694,"Вне аренды"))))</f>
        <v/>
      </c>
      <c r="G694" s="12">
        <f>IF(ISNUMBER(F694),IFERROR(INDEX(Брони!$C$2:$C$500,MATCH(F694,Брони!$A$2:$A$500,0)),""),"")</f>
        <v/>
      </c>
      <c r="H694" s="10" t="n"/>
      <c r="I694" s="18" t="n"/>
      <c r="J694" s="12">
        <f>IF(AND(ISNUMBER(F694),I694&lt;&gt;""),IFERROR(IF(AND(INDEX(Брони!$F$2:$F$500,MATCH(F694,Брони!$A$2:$A$500,0))="Возвращена",I694&gt;INDEX(Брони!$E$2:$E$500,MATCH(F694,Брони!$A$2:$A$500,0))),"Да",""),""),"")</f>
        <v/>
      </c>
      <c r="K694" s="10" t="n"/>
      <c r="L694" s="14" t="n"/>
      <c r="M694" s="15">
        <f>IF(OR(A694="",B694=""),"",IF(AND(ISNUMBER(F694),H694&lt;&gt;"Компания"),D694+L694,0))</f>
        <v/>
      </c>
      <c r="N694" s="21">
        <f>SUMPRODUCT(MAX((Брони!$B$2:$B$500=B694)*((Брони!$F$2:$F$500="Выдана")+(Брони!$F$2:$F$500="Возвращена"))*(Брони!$D$2:$D$500&lt;=A694)*Брони!$D$2:$D$500))</f>
        <v/>
      </c>
      <c r="O694" s="19">
        <f>SUMPRODUCT((Брони!$B$2:$B$500=B694)*(Брони!$D$2:$D$500=N694)*((((Брони!$F$2:$F$500="Выдана")*NOW())+((Брони!$F$2:$F$500="Возвращена")*Брони!$E$2:$E$500))&gt;=A694)*Брони!$A$2:$A$500)</f>
        <v/>
      </c>
      <c r="P694" s="19">
        <f>SUMPRODUCT((Брони!$B$2:$B$500=B694)*(Брони!$D$2:$D$500=N694)*(((Брони!$F$2:$F$500="Выдана")+(Брони!$F$2:$F$500="Возвращена"))))</f>
        <v/>
      </c>
      <c r="Q694" s="10" t="n"/>
    </row>
    <row r="695">
      <c r="A695" s="11" t="n"/>
      <c r="B695" s="10" t="n"/>
      <c r="C695" s="10" t="n"/>
      <c r="D695" s="14" t="n"/>
      <c r="E695" s="10" t="n"/>
      <c r="F695" s="20">
        <f>IF(OR(A695="",B695=""),"",IF(OR(NOT(ISNUMBER(A695)),ISERROR(N695+O695+P695)),"Проверьте даты",IF(AND(N695&gt;0,P695&gt;1),"Дубль",IF(AND(N695&gt;0,O695&gt;0),O695,"Вне аренды"))))</f>
        <v/>
      </c>
      <c r="G695" s="12">
        <f>IF(ISNUMBER(F695),IFERROR(INDEX(Брони!$C$2:$C$500,MATCH(F695,Брони!$A$2:$A$500,0)),""),"")</f>
        <v/>
      </c>
      <c r="H695" s="10" t="n"/>
      <c r="I695" s="18" t="n"/>
      <c r="J695" s="12">
        <f>IF(AND(ISNUMBER(F695),I695&lt;&gt;""),IFERROR(IF(AND(INDEX(Брони!$F$2:$F$500,MATCH(F695,Брони!$A$2:$A$500,0))="Возвращена",I695&gt;INDEX(Брони!$E$2:$E$500,MATCH(F695,Брони!$A$2:$A$500,0))),"Да",""),""),"")</f>
        <v/>
      </c>
      <c r="K695" s="10" t="n"/>
      <c r="L695" s="14" t="n"/>
      <c r="M695" s="15">
        <f>IF(OR(A695="",B695=""),"",IF(AND(ISNUMBER(F695),H695&lt;&gt;"Компания"),D695+L695,0))</f>
        <v/>
      </c>
      <c r="N695" s="21">
        <f>SUMPRODUCT(MAX((Брони!$B$2:$B$500=B695)*((Брони!$F$2:$F$500="Выдана")+(Брони!$F$2:$F$500="Возвращена"))*(Брони!$D$2:$D$500&lt;=A695)*Брони!$D$2:$D$500))</f>
        <v/>
      </c>
      <c r="O695" s="19">
        <f>SUMPRODUCT((Брони!$B$2:$B$500=B695)*(Брони!$D$2:$D$500=N695)*((((Брони!$F$2:$F$500="Выдана")*NOW())+((Брони!$F$2:$F$500="Возвращена")*Брони!$E$2:$E$500))&gt;=A695)*Брони!$A$2:$A$500)</f>
        <v/>
      </c>
      <c r="P695" s="19">
        <f>SUMPRODUCT((Брони!$B$2:$B$500=B695)*(Брони!$D$2:$D$500=N695)*(((Брони!$F$2:$F$500="Выдана")+(Брони!$F$2:$F$500="Возвращена"))))</f>
        <v/>
      </c>
      <c r="Q695" s="10" t="n"/>
    </row>
    <row r="696">
      <c r="A696" s="11" t="n"/>
      <c r="B696" s="10" t="n"/>
      <c r="C696" s="10" t="n"/>
      <c r="D696" s="14" t="n"/>
      <c r="E696" s="10" t="n"/>
      <c r="F696" s="20">
        <f>IF(OR(A696="",B696=""),"",IF(OR(NOT(ISNUMBER(A696)),ISERROR(N696+O696+P696)),"Проверьте даты",IF(AND(N696&gt;0,P696&gt;1),"Дубль",IF(AND(N696&gt;0,O696&gt;0),O696,"Вне аренды"))))</f>
        <v/>
      </c>
      <c r="G696" s="12">
        <f>IF(ISNUMBER(F696),IFERROR(INDEX(Брони!$C$2:$C$500,MATCH(F696,Брони!$A$2:$A$500,0)),""),"")</f>
        <v/>
      </c>
      <c r="H696" s="10" t="n"/>
      <c r="I696" s="18" t="n"/>
      <c r="J696" s="12">
        <f>IF(AND(ISNUMBER(F696),I696&lt;&gt;""),IFERROR(IF(AND(INDEX(Брони!$F$2:$F$500,MATCH(F696,Брони!$A$2:$A$500,0))="Возвращена",I696&gt;INDEX(Брони!$E$2:$E$500,MATCH(F696,Брони!$A$2:$A$500,0))),"Да",""),""),"")</f>
        <v/>
      </c>
      <c r="K696" s="10" t="n"/>
      <c r="L696" s="14" t="n"/>
      <c r="M696" s="15">
        <f>IF(OR(A696="",B696=""),"",IF(AND(ISNUMBER(F696),H696&lt;&gt;"Компания"),D696+L696,0))</f>
        <v/>
      </c>
      <c r="N696" s="21">
        <f>SUMPRODUCT(MAX((Брони!$B$2:$B$500=B696)*((Брони!$F$2:$F$500="Выдана")+(Брони!$F$2:$F$500="Возвращена"))*(Брони!$D$2:$D$500&lt;=A696)*Брони!$D$2:$D$500))</f>
        <v/>
      </c>
      <c r="O696" s="19">
        <f>SUMPRODUCT((Брони!$B$2:$B$500=B696)*(Брони!$D$2:$D$500=N696)*((((Брони!$F$2:$F$500="Выдана")*NOW())+((Брони!$F$2:$F$500="Возвращена")*Брони!$E$2:$E$500))&gt;=A696)*Брони!$A$2:$A$500)</f>
        <v/>
      </c>
      <c r="P696" s="19">
        <f>SUMPRODUCT((Брони!$B$2:$B$500=B696)*(Брони!$D$2:$D$500=N696)*(((Брони!$F$2:$F$500="Выдана")+(Брони!$F$2:$F$500="Возвращена"))))</f>
        <v/>
      </c>
      <c r="Q696" s="10" t="n"/>
    </row>
    <row r="697">
      <c r="A697" s="11" t="n"/>
      <c r="B697" s="10" t="n"/>
      <c r="C697" s="10" t="n"/>
      <c r="D697" s="14" t="n"/>
      <c r="E697" s="10" t="n"/>
      <c r="F697" s="20">
        <f>IF(OR(A697="",B697=""),"",IF(OR(NOT(ISNUMBER(A697)),ISERROR(N697+O697+P697)),"Проверьте даты",IF(AND(N697&gt;0,P697&gt;1),"Дубль",IF(AND(N697&gt;0,O697&gt;0),O697,"Вне аренды"))))</f>
        <v/>
      </c>
      <c r="G697" s="12">
        <f>IF(ISNUMBER(F697),IFERROR(INDEX(Брони!$C$2:$C$500,MATCH(F697,Брони!$A$2:$A$500,0)),""),"")</f>
        <v/>
      </c>
      <c r="H697" s="10" t="n"/>
      <c r="I697" s="18" t="n"/>
      <c r="J697" s="12">
        <f>IF(AND(ISNUMBER(F697),I697&lt;&gt;""),IFERROR(IF(AND(INDEX(Брони!$F$2:$F$500,MATCH(F697,Брони!$A$2:$A$500,0))="Возвращена",I697&gt;INDEX(Брони!$E$2:$E$500,MATCH(F697,Брони!$A$2:$A$500,0))),"Да",""),""),"")</f>
        <v/>
      </c>
      <c r="K697" s="10" t="n"/>
      <c r="L697" s="14" t="n"/>
      <c r="M697" s="15">
        <f>IF(OR(A697="",B697=""),"",IF(AND(ISNUMBER(F697),H697&lt;&gt;"Компания"),D697+L697,0))</f>
        <v/>
      </c>
      <c r="N697" s="21">
        <f>SUMPRODUCT(MAX((Брони!$B$2:$B$500=B697)*((Брони!$F$2:$F$500="Выдана")+(Брони!$F$2:$F$500="Возвращена"))*(Брони!$D$2:$D$500&lt;=A697)*Брони!$D$2:$D$500))</f>
        <v/>
      </c>
      <c r="O697" s="19">
        <f>SUMPRODUCT((Брони!$B$2:$B$500=B697)*(Брони!$D$2:$D$500=N697)*((((Брони!$F$2:$F$500="Выдана")*NOW())+((Брони!$F$2:$F$500="Возвращена")*Брони!$E$2:$E$500))&gt;=A697)*Брони!$A$2:$A$500)</f>
        <v/>
      </c>
      <c r="P697" s="19">
        <f>SUMPRODUCT((Брони!$B$2:$B$500=B697)*(Брони!$D$2:$D$500=N697)*(((Брони!$F$2:$F$500="Выдана")+(Брони!$F$2:$F$500="Возвращена"))))</f>
        <v/>
      </c>
      <c r="Q697" s="10" t="n"/>
    </row>
    <row r="698">
      <c r="A698" s="11" t="n"/>
      <c r="B698" s="10" t="n"/>
      <c r="C698" s="10" t="n"/>
      <c r="D698" s="14" t="n"/>
      <c r="E698" s="10" t="n"/>
      <c r="F698" s="20">
        <f>IF(OR(A698="",B698=""),"",IF(OR(NOT(ISNUMBER(A698)),ISERROR(N698+O698+P698)),"Проверьте даты",IF(AND(N698&gt;0,P698&gt;1),"Дубль",IF(AND(N698&gt;0,O698&gt;0),O698,"Вне аренды"))))</f>
        <v/>
      </c>
      <c r="G698" s="12">
        <f>IF(ISNUMBER(F698),IFERROR(INDEX(Брони!$C$2:$C$500,MATCH(F698,Брони!$A$2:$A$500,0)),""),"")</f>
        <v/>
      </c>
      <c r="H698" s="10" t="n"/>
      <c r="I698" s="18" t="n"/>
      <c r="J698" s="12">
        <f>IF(AND(ISNUMBER(F698),I698&lt;&gt;""),IFERROR(IF(AND(INDEX(Брони!$F$2:$F$500,MATCH(F698,Брони!$A$2:$A$500,0))="Возвращена",I698&gt;INDEX(Брони!$E$2:$E$500,MATCH(F698,Брони!$A$2:$A$500,0))),"Да",""),""),"")</f>
        <v/>
      </c>
      <c r="K698" s="10" t="n"/>
      <c r="L698" s="14" t="n"/>
      <c r="M698" s="15">
        <f>IF(OR(A698="",B698=""),"",IF(AND(ISNUMBER(F698),H698&lt;&gt;"Компания"),D698+L698,0))</f>
        <v/>
      </c>
      <c r="N698" s="21">
        <f>SUMPRODUCT(MAX((Брони!$B$2:$B$500=B698)*((Брони!$F$2:$F$500="Выдана")+(Брони!$F$2:$F$500="Возвращена"))*(Брони!$D$2:$D$500&lt;=A698)*Брони!$D$2:$D$500))</f>
        <v/>
      </c>
      <c r="O698" s="19">
        <f>SUMPRODUCT((Брони!$B$2:$B$500=B698)*(Брони!$D$2:$D$500=N698)*((((Брони!$F$2:$F$500="Выдана")*NOW())+((Брони!$F$2:$F$500="Возвращена")*Брони!$E$2:$E$500))&gt;=A698)*Брони!$A$2:$A$500)</f>
        <v/>
      </c>
      <c r="P698" s="19">
        <f>SUMPRODUCT((Брони!$B$2:$B$500=B698)*(Брони!$D$2:$D$500=N698)*(((Брони!$F$2:$F$500="Выдана")+(Брони!$F$2:$F$500="Возвращена"))))</f>
        <v/>
      </c>
      <c r="Q698" s="10" t="n"/>
    </row>
    <row r="699">
      <c r="A699" s="11" t="n"/>
      <c r="B699" s="10" t="n"/>
      <c r="C699" s="10" t="n"/>
      <c r="D699" s="14" t="n"/>
      <c r="E699" s="10" t="n"/>
      <c r="F699" s="20">
        <f>IF(OR(A699="",B699=""),"",IF(OR(NOT(ISNUMBER(A699)),ISERROR(N699+O699+P699)),"Проверьте даты",IF(AND(N699&gt;0,P699&gt;1),"Дубль",IF(AND(N699&gt;0,O699&gt;0),O699,"Вне аренды"))))</f>
        <v/>
      </c>
      <c r="G699" s="12">
        <f>IF(ISNUMBER(F699),IFERROR(INDEX(Брони!$C$2:$C$500,MATCH(F699,Брони!$A$2:$A$500,0)),""),"")</f>
        <v/>
      </c>
      <c r="H699" s="10" t="n"/>
      <c r="I699" s="18" t="n"/>
      <c r="J699" s="12">
        <f>IF(AND(ISNUMBER(F699),I699&lt;&gt;""),IFERROR(IF(AND(INDEX(Брони!$F$2:$F$500,MATCH(F699,Брони!$A$2:$A$500,0))="Возвращена",I699&gt;INDEX(Брони!$E$2:$E$500,MATCH(F699,Брони!$A$2:$A$500,0))),"Да",""),""),"")</f>
        <v/>
      </c>
      <c r="K699" s="10" t="n"/>
      <c r="L699" s="14" t="n"/>
      <c r="M699" s="15">
        <f>IF(OR(A699="",B699=""),"",IF(AND(ISNUMBER(F699),H699&lt;&gt;"Компания"),D699+L699,0))</f>
        <v/>
      </c>
      <c r="N699" s="21">
        <f>SUMPRODUCT(MAX((Брони!$B$2:$B$500=B699)*((Брони!$F$2:$F$500="Выдана")+(Брони!$F$2:$F$500="Возвращена"))*(Брони!$D$2:$D$500&lt;=A699)*Брони!$D$2:$D$500))</f>
        <v/>
      </c>
      <c r="O699" s="19">
        <f>SUMPRODUCT((Брони!$B$2:$B$500=B699)*(Брони!$D$2:$D$500=N699)*((((Брони!$F$2:$F$500="Выдана")*NOW())+((Брони!$F$2:$F$500="Возвращена")*Брони!$E$2:$E$500))&gt;=A699)*Брони!$A$2:$A$500)</f>
        <v/>
      </c>
      <c r="P699" s="19">
        <f>SUMPRODUCT((Брони!$B$2:$B$500=B699)*(Брони!$D$2:$D$500=N699)*(((Брони!$F$2:$F$500="Выдана")+(Брони!$F$2:$F$500="Возвращена"))))</f>
        <v/>
      </c>
      <c r="Q699" s="10" t="n"/>
    </row>
    <row r="700">
      <c r="A700" s="11" t="n"/>
      <c r="B700" s="10" t="n"/>
      <c r="C700" s="10" t="n"/>
      <c r="D700" s="14" t="n"/>
      <c r="E700" s="10" t="n"/>
      <c r="F700" s="20">
        <f>IF(OR(A700="",B700=""),"",IF(OR(NOT(ISNUMBER(A700)),ISERROR(N700+O700+P700)),"Проверьте даты",IF(AND(N700&gt;0,P700&gt;1),"Дубль",IF(AND(N700&gt;0,O700&gt;0),O700,"Вне аренды"))))</f>
        <v/>
      </c>
      <c r="G700" s="12">
        <f>IF(ISNUMBER(F700),IFERROR(INDEX(Брони!$C$2:$C$500,MATCH(F700,Брони!$A$2:$A$500,0)),""),"")</f>
        <v/>
      </c>
      <c r="H700" s="10" t="n"/>
      <c r="I700" s="18" t="n"/>
      <c r="J700" s="12">
        <f>IF(AND(ISNUMBER(F700),I700&lt;&gt;""),IFERROR(IF(AND(INDEX(Брони!$F$2:$F$500,MATCH(F700,Брони!$A$2:$A$500,0))="Возвращена",I700&gt;INDEX(Брони!$E$2:$E$500,MATCH(F700,Брони!$A$2:$A$500,0))),"Да",""),""),"")</f>
        <v/>
      </c>
      <c r="K700" s="10" t="n"/>
      <c r="L700" s="14" t="n"/>
      <c r="M700" s="15">
        <f>IF(OR(A700="",B700=""),"",IF(AND(ISNUMBER(F700),H700&lt;&gt;"Компания"),D700+L700,0))</f>
        <v/>
      </c>
      <c r="N700" s="21">
        <f>SUMPRODUCT(MAX((Брони!$B$2:$B$500=B700)*((Брони!$F$2:$F$500="Выдана")+(Брони!$F$2:$F$500="Возвращена"))*(Брони!$D$2:$D$500&lt;=A700)*Брони!$D$2:$D$500))</f>
        <v/>
      </c>
      <c r="O700" s="19">
        <f>SUMPRODUCT((Брони!$B$2:$B$500=B700)*(Брони!$D$2:$D$500=N700)*((((Брони!$F$2:$F$500="Выдана")*NOW())+((Брони!$F$2:$F$500="Возвращена")*Брони!$E$2:$E$500))&gt;=A700)*Брони!$A$2:$A$500)</f>
        <v/>
      </c>
      <c r="P700" s="19">
        <f>SUMPRODUCT((Брони!$B$2:$B$500=B700)*(Брони!$D$2:$D$500=N700)*(((Брони!$F$2:$F$500="Выдана")+(Брони!$F$2:$F$500="Возвращена"))))</f>
        <v/>
      </c>
      <c r="Q700" s="10" t="n"/>
    </row>
    <row r="701">
      <c r="A701" s="11" t="n"/>
      <c r="B701" s="10" t="n"/>
      <c r="C701" s="10" t="n"/>
      <c r="D701" s="14" t="n"/>
      <c r="E701" s="10" t="n"/>
      <c r="F701" s="20">
        <f>IF(OR(A701="",B701=""),"",IF(OR(NOT(ISNUMBER(A701)),ISERROR(N701+O701+P701)),"Проверьте даты",IF(AND(N701&gt;0,P701&gt;1),"Дубль",IF(AND(N701&gt;0,O701&gt;0),O701,"Вне аренды"))))</f>
        <v/>
      </c>
      <c r="G701" s="12">
        <f>IF(ISNUMBER(F701),IFERROR(INDEX(Брони!$C$2:$C$500,MATCH(F701,Брони!$A$2:$A$500,0)),""),"")</f>
        <v/>
      </c>
      <c r="H701" s="10" t="n"/>
      <c r="I701" s="18" t="n"/>
      <c r="J701" s="12">
        <f>IF(AND(ISNUMBER(F701),I701&lt;&gt;""),IFERROR(IF(AND(INDEX(Брони!$F$2:$F$500,MATCH(F701,Брони!$A$2:$A$500,0))="Возвращена",I701&gt;INDEX(Брони!$E$2:$E$500,MATCH(F701,Брони!$A$2:$A$500,0))),"Да",""),""),"")</f>
        <v/>
      </c>
      <c r="K701" s="10" t="n"/>
      <c r="L701" s="14" t="n"/>
      <c r="M701" s="15">
        <f>IF(OR(A701="",B701=""),"",IF(AND(ISNUMBER(F701),H701&lt;&gt;"Компания"),D701+L701,0))</f>
        <v/>
      </c>
      <c r="N701" s="21">
        <f>SUMPRODUCT(MAX((Брони!$B$2:$B$500=B701)*((Брони!$F$2:$F$500="Выдана")+(Брони!$F$2:$F$500="Возвращена"))*(Брони!$D$2:$D$500&lt;=A701)*Брони!$D$2:$D$500))</f>
        <v/>
      </c>
      <c r="O701" s="19">
        <f>SUMPRODUCT((Брони!$B$2:$B$500=B701)*(Брони!$D$2:$D$500=N701)*((((Брони!$F$2:$F$500="Выдана")*NOW())+((Брони!$F$2:$F$500="Возвращена")*Брони!$E$2:$E$500))&gt;=A701)*Брони!$A$2:$A$500)</f>
        <v/>
      </c>
      <c r="P701" s="19">
        <f>SUMPRODUCT((Брони!$B$2:$B$500=B701)*(Брони!$D$2:$D$500=N701)*(((Брони!$F$2:$F$500="Выдана")+(Брони!$F$2:$F$500="Возвращена"))))</f>
        <v/>
      </c>
      <c r="Q701" s="10" t="n"/>
    </row>
    <row r="702">
      <c r="A702" s="11" t="n"/>
      <c r="B702" s="10" t="n"/>
      <c r="C702" s="10" t="n"/>
      <c r="D702" s="14" t="n"/>
      <c r="E702" s="10" t="n"/>
      <c r="F702" s="20">
        <f>IF(OR(A702="",B702=""),"",IF(OR(NOT(ISNUMBER(A702)),ISERROR(N702+O702+P702)),"Проверьте даты",IF(AND(N702&gt;0,P702&gt;1),"Дубль",IF(AND(N702&gt;0,O702&gt;0),O702,"Вне аренды"))))</f>
        <v/>
      </c>
      <c r="G702" s="12">
        <f>IF(ISNUMBER(F702),IFERROR(INDEX(Брони!$C$2:$C$500,MATCH(F702,Брони!$A$2:$A$500,0)),""),"")</f>
        <v/>
      </c>
      <c r="H702" s="10" t="n"/>
      <c r="I702" s="18" t="n"/>
      <c r="J702" s="12">
        <f>IF(AND(ISNUMBER(F702),I702&lt;&gt;""),IFERROR(IF(AND(INDEX(Брони!$F$2:$F$500,MATCH(F702,Брони!$A$2:$A$500,0))="Возвращена",I702&gt;INDEX(Брони!$E$2:$E$500,MATCH(F702,Брони!$A$2:$A$500,0))),"Да",""),""),"")</f>
        <v/>
      </c>
      <c r="K702" s="10" t="n"/>
      <c r="L702" s="14" t="n"/>
      <c r="M702" s="15">
        <f>IF(OR(A702="",B702=""),"",IF(AND(ISNUMBER(F702),H702&lt;&gt;"Компания"),D702+L702,0))</f>
        <v/>
      </c>
      <c r="N702" s="21">
        <f>SUMPRODUCT(MAX((Брони!$B$2:$B$500=B702)*((Брони!$F$2:$F$500="Выдана")+(Брони!$F$2:$F$500="Возвращена"))*(Брони!$D$2:$D$500&lt;=A702)*Брони!$D$2:$D$500))</f>
        <v/>
      </c>
      <c r="O702" s="19">
        <f>SUMPRODUCT((Брони!$B$2:$B$500=B702)*(Брони!$D$2:$D$500=N702)*((((Брони!$F$2:$F$500="Выдана")*NOW())+((Брони!$F$2:$F$500="Возвращена")*Брони!$E$2:$E$500))&gt;=A702)*Брони!$A$2:$A$500)</f>
        <v/>
      </c>
      <c r="P702" s="19">
        <f>SUMPRODUCT((Брони!$B$2:$B$500=B702)*(Брони!$D$2:$D$500=N702)*(((Брони!$F$2:$F$500="Выдана")+(Брони!$F$2:$F$500="Возвращена"))))</f>
        <v/>
      </c>
      <c r="Q702" s="10" t="n"/>
    </row>
    <row r="703">
      <c r="A703" s="11" t="n"/>
      <c r="B703" s="10" t="n"/>
      <c r="C703" s="10" t="n"/>
      <c r="D703" s="14" t="n"/>
      <c r="E703" s="10" t="n"/>
      <c r="F703" s="20">
        <f>IF(OR(A703="",B703=""),"",IF(OR(NOT(ISNUMBER(A703)),ISERROR(N703+O703+P703)),"Проверьте даты",IF(AND(N703&gt;0,P703&gt;1),"Дубль",IF(AND(N703&gt;0,O703&gt;0),O703,"Вне аренды"))))</f>
        <v/>
      </c>
      <c r="G703" s="12">
        <f>IF(ISNUMBER(F703),IFERROR(INDEX(Брони!$C$2:$C$500,MATCH(F703,Брони!$A$2:$A$500,0)),""),"")</f>
        <v/>
      </c>
      <c r="H703" s="10" t="n"/>
      <c r="I703" s="18" t="n"/>
      <c r="J703" s="12">
        <f>IF(AND(ISNUMBER(F703),I703&lt;&gt;""),IFERROR(IF(AND(INDEX(Брони!$F$2:$F$500,MATCH(F703,Брони!$A$2:$A$500,0))="Возвращена",I703&gt;INDEX(Брони!$E$2:$E$500,MATCH(F703,Брони!$A$2:$A$500,0))),"Да",""),""),"")</f>
        <v/>
      </c>
      <c r="K703" s="10" t="n"/>
      <c r="L703" s="14" t="n"/>
      <c r="M703" s="15">
        <f>IF(OR(A703="",B703=""),"",IF(AND(ISNUMBER(F703),H703&lt;&gt;"Компания"),D703+L703,0))</f>
        <v/>
      </c>
      <c r="N703" s="21">
        <f>SUMPRODUCT(MAX((Брони!$B$2:$B$500=B703)*((Брони!$F$2:$F$500="Выдана")+(Брони!$F$2:$F$500="Возвращена"))*(Брони!$D$2:$D$500&lt;=A703)*Брони!$D$2:$D$500))</f>
        <v/>
      </c>
      <c r="O703" s="19">
        <f>SUMPRODUCT((Брони!$B$2:$B$500=B703)*(Брони!$D$2:$D$500=N703)*((((Брони!$F$2:$F$500="Выдана")*NOW())+((Брони!$F$2:$F$500="Возвращена")*Брони!$E$2:$E$500))&gt;=A703)*Брони!$A$2:$A$500)</f>
        <v/>
      </c>
      <c r="P703" s="19">
        <f>SUMPRODUCT((Брони!$B$2:$B$500=B703)*(Брони!$D$2:$D$500=N703)*(((Брони!$F$2:$F$500="Выдана")+(Брони!$F$2:$F$500="Возвращена"))))</f>
        <v/>
      </c>
      <c r="Q703" s="10" t="n"/>
    </row>
    <row r="704">
      <c r="A704" s="11" t="n"/>
      <c r="B704" s="10" t="n"/>
      <c r="C704" s="10" t="n"/>
      <c r="D704" s="14" t="n"/>
      <c r="E704" s="10" t="n"/>
      <c r="F704" s="20">
        <f>IF(OR(A704="",B704=""),"",IF(OR(NOT(ISNUMBER(A704)),ISERROR(N704+O704+P704)),"Проверьте даты",IF(AND(N704&gt;0,P704&gt;1),"Дубль",IF(AND(N704&gt;0,O704&gt;0),O704,"Вне аренды"))))</f>
        <v/>
      </c>
      <c r="G704" s="12">
        <f>IF(ISNUMBER(F704),IFERROR(INDEX(Брони!$C$2:$C$500,MATCH(F704,Брони!$A$2:$A$500,0)),""),"")</f>
        <v/>
      </c>
      <c r="H704" s="10" t="n"/>
      <c r="I704" s="18" t="n"/>
      <c r="J704" s="12">
        <f>IF(AND(ISNUMBER(F704),I704&lt;&gt;""),IFERROR(IF(AND(INDEX(Брони!$F$2:$F$500,MATCH(F704,Брони!$A$2:$A$500,0))="Возвращена",I704&gt;INDEX(Брони!$E$2:$E$500,MATCH(F704,Брони!$A$2:$A$500,0))),"Да",""),""),"")</f>
        <v/>
      </c>
      <c r="K704" s="10" t="n"/>
      <c r="L704" s="14" t="n"/>
      <c r="M704" s="15">
        <f>IF(OR(A704="",B704=""),"",IF(AND(ISNUMBER(F704),H704&lt;&gt;"Компания"),D704+L704,0))</f>
        <v/>
      </c>
      <c r="N704" s="21">
        <f>SUMPRODUCT(MAX((Брони!$B$2:$B$500=B704)*((Брони!$F$2:$F$500="Выдана")+(Брони!$F$2:$F$500="Возвращена"))*(Брони!$D$2:$D$500&lt;=A704)*Брони!$D$2:$D$500))</f>
        <v/>
      </c>
      <c r="O704" s="19">
        <f>SUMPRODUCT((Брони!$B$2:$B$500=B704)*(Брони!$D$2:$D$500=N704)*((((Брони!$F$2:$F$500="Выдана")*NOW())+((Брони!$F$2:$F$500="Возвращена")*Брони!$E$2:$E$500))&gt;=A704)*Брони!$A$2:$A$500)</f>
        <v/>
      </c>
      <c r="P704" s="19">
        <f>SUMPRODUCT((Брони!$B$2:$B$500=B704)*(Брони!$D$2:$D$500=N704)*(((Брони!$F$2:$F$500="Выдана")+(Брони!$F$2:$F$500="Возвращена"))))</f>
        <v/>
      </c>
      <c r="Q704" s="10" t="n"/>
    </row>
    <row r="705">
      <c r="A705" s="11" t="n"/>
      <c r="B705" s="10" t="n"/>
      <c r="C705" s="10" t="n"/>
      <c r="D705" s="14" t="n"/>
      <c r="E705" s="10" t="n"/>
      <c r="F705" s="20">
        <f>IF(OR(A705="",B705=""),"",IF(OR(NOT(ISNUMBER(A705)),ISERROR(N705+O705+P705)),"Проверьте даты",IF(AND(N705&gt;0,P705&gt;1),"Дубль",IF(AND(N705&gt;0,O705&gt;0),O705,"Вне аренды"))))</f>
        <v/>
      </c>
      <c r="G705" s="12">
        <f>IF(ISNUMBER(F705),IFERROR(INDEX(Брони!$C$2:$C$500,MATCH(F705,Брони!$A$2:$A$500,0)),""),"")</f>
        <v/>
      </c>
      <c r="H705" s="10" t="n"/>
      <c r="I705" s="18" t="n"/>
      <c r="J705" s="12">
        <f>IF(AND(ISNUMBER(F705),I705&lt;&gt;""),IFERROR(IF(AND(INDEX(Брони!$F$2:$F$500,MATCH(F705,Брони!$A$2:$A$500,0))="Возвращена",I705&gt;INDEX(Брони!$E$2:$E$500,MATCH(F705,Брони!$A$2:$A$500,0))),"Да",""),""),"")</f>
        <v/>
      </c>
      <c r="K705" s="10" t="n"/>
      <c r="L705" s="14" t="n"/>
      <c r="M705" s="15">
        <f>IF(OR(A705="",B705=""),"",IF(AND(ISNUMBER(F705),H705&lt;&gt;"Компания"),D705+L705,0))</f>
        <v/>
      </c>
      <c r="N705" s="21">
        <f>SUMPRODUCT(MAX((Брони!$B$2:$B$500=B705)*((Брони!$F$2:$F$500="Выдана")+(Брони!$F$2:$F$500="Возвращена"))*(Брони!$D$2:$D$500&lt;=A705)*Брони!$D$2:$D$500))</f>
        <v/>
      </c>
      <c r="O705" s="19">
        <f>SUMPRODUCT((Брони!$B$2:$B$500=B705)*(Брони!$D$2:$D$500=N705)*((((Брони!$F$2:$F$500="Выдана")*NOW())+((Брони!$F$2:$F$500="Возвращена")*Брони!$E$2:$E$500))&gt;=A705)*Брони!$A$2:$A$500)</f>
        <v/>
      </c>
      <c r="P705" s="19">
        <f>SUMPRODUCT((Брони!$B$2:$B$500=B705)*(Брони!$D$2:$D$500=N705)*(((Брони!$F$2:$F$500="Выдана")+(Брони!$F$2:$F$500="Возвращена"))))</f>
        <v/>
      </c>
      <c r="Q705" s="10" t="n"/>
    </row>
    <row r="706">
      <c r="A706" s="11" t="n"/>
      <c r="B706" s="10" t="n"/>
      <c r="C706" s="10" t="n"/>
      <c r="D706" s="14" t="n"/>
      <c r="E706" s="10" t="n"/>
      <c r="F706" s="20">
        <f>IF(OR(A706="",B706=""),"",IF(OR(NOT(ISNUMBER(A706)),ISERROR(N706+O706+P706)),"Проверьте даты",IF(AND(N706&gt;0,P706&gt;1),"Дубль",IF(AND(N706&gt;0,O706&gt;0),O706,"Вне аренды"))))</f>
        <v/>
      </c>
      <c r="G706" s="12">
        <f>IF(ISNUMBER(F706),IFERROR(INDEX(Брони!$C$2:$C$500,MATCH(F706,Брони!$A$2:$A$500,0)),""),"")</f>
        <v/>
      </c>
      <c r="H706" s="10" t="n"/>
      <c r="I706" s="18" t="n"/>
      <c r="J706" s="12">
        <f>IF(AND(ISNUMBER(F706),I706&lt;&gt;""),IFERROR(IF(AND(INDEX(Брони!$F$2:$F$500,MATCH(F706,Брони!$A$2:$A$500,0))="Возвращена",I706&gt;INDEX(Брони!$E$2:$E$500,MATCH(F706,Брони!$A$2:$A$500,0))),"Да",""),""),"")</f>
        <v/>
      </c>
      <c r="K706" s="10" t="n"/>
      <c r="L706" s="14" t="n"/>
      <c r="M706" s="15">
        <f>IF(OR(A706="",B706=""),"",IF(AND(ISNUMBER(F706),H706&lt;&gt;"Компания"),D706+L706,0))</f>
        <v/>
      </c>
      <c r="N706" s="21">
        <f>SUMPRODUCT(MAX((Брони!$B$2:$B$500=B706)*((Брони!$F$2:$F$500="Выдана")+(Брони!$F$2:$F$500="Возвращена"))*(Брони!$D$2:$D$500&lt;=A706)*Брони!$D$2:$D$500))</f>
        <v/>
      </c>
      <c r="O706" s="19">
        <f>SUMPRODUCT((Брони!$B$2:$B$500=B706)*(Брони!$D$2:$D$500=N706)*((((Брони!$F$2:$F$500="Выдана")*NOW())+((Брони!$F$2:$F$500="Возвращена")*Брони!$E$2:$E$500))&gt;=A706)*Брони!$A$2:$A$500)</f>
        <v/>
      </c>
      <c r="P706" s="19">
        <f>SUMPRODUCT((Брони!$B$2:$B$500=B706)*(Брони!$D$2:$D$500=N706)*(((Брони!$F$2:$F$500="Выдана")+(Брони!$F$2:$F$500="Возвращена"))))</f>
        <v/>
      </c>
      <c r="Q706" s="10" t="n"/>
    </row>
    <row r="707">
      <c r="A707" s="11" t="n"/>
      <c r="B707" s="10" t="n"/>
      <c r="C707" s="10" t="n"/>
      <c r="D707" s="14" t="n"/>
      <c r="E707" s="10" t="n"/>
      <c r="F707" s="20">
        <f>IF(OR(A707="",B707=""),"",IF(OR(NOT(ISNUMBER(A707)),ISERROR(N707+O707+P707)),"Проверьте даты",IF(AND(N707&gt;0,P707&gt;1),"Дубль",IF(AND(N707&gt;0,O707&gt;0),O707,"Вне аренды"))))</f>
        <v/>
      </c>
      <c r="G707" s="12">
        <f>IF(ISNUMBER(F707),IFERROR(INDEX(Брони!$C$2:$C$500,MATCH(F707,Брони!$A$2:$A$500,0)),""),"")</f>
        <v/>
      </c>
      <c r="H707" s="10" t="n"/>
      <c r="I707" s="18" t="n"/>
      <c r="J707" s="12">
        <f>IF(AND(ISNUMBER(F707),I707&lt;&gt;""),IFERROR(IF(AND(INDEX(Брони!$F$2:$F$500,MATCH(F707,Брони!$A$2:$A$500,0))="Возвращена",I707&gt;INDEX(Брони!$E$2:$E$500,MATCH(F707,Брони!$A$2:$A$500,0))),"Да",""),""),"")</f>
        <v/>
      </c>
      <c r="K707" s="10" t="n"/>
      <c r="L707" s="14" t="n"/>
      <c r="M707" s="15">
        <f>IF(OR(A707="",B707=""),"",IF(AND(ISNUMBER(F707),H707&lt;&gt;"Компания"),D707+L707,0))</f>
        <v/>
      </c>
      <c r="N707" s="21">
        <f>SUMPRODUCT(MAX((Брони!$B$2:$B$500=B707)*((Брони!$F$2:$F$500="Выдана")+(Брони!$F$2:$F$500="Возвращена"))*(Брони!$D$2:$D$500&lt;=A707)*Брони!$D$2:$D$500))</f>
        <v/>
      </c>
      <c r="O707" s="19">
        <f>SUMPRODUCT((Брони!$B$2:$B$500=B707)*(Брони!$D$2:$D$500=N707)*((((Брони!$F$2:$F$500="Выдана")*NOW())+((Брони!$F$2:$F$500="Возвращена")*Брони!$E$2:$E$500))&gt;=A707)*Брони!$A$2:$A$500)</f>
        <v/>
      </c>
      <c r="P707" s="19">
        <f>SUMPRODUCT((Брони!$B$2:$B$500=B707)*(Брони!$D$2:$D$500=N707)*(((Брони!$F$2:$F$500="Выдана")+(Брони!$F$2:$F$500="Возвращена"))))</f>
        <v/>
      </c>
      <c r="Q707" s="10" t="n"/>
    </row>
    <row r="708">
      <c r="A708" s="11" t="n"/>
      <c r="B708" s="10" t="n"/>
      <c r="C708" s="10" t="n"/>
      <c r="D708" s="14" t="n"/>
      <c r="E708" s="10" t="n"/>
      <c r="F708" s="20">
        <f>IF(OR(A708="",B708=""),"",IF(OR(NOT(ISNUMBER(A708)),ISERROR(N708+O708+P708)),"Проверьте даты",IF(AND(N708&gt;0,P708&gt;1),"Дубль",IF(AND(N708&gt;0,O708&gt;0),O708,"Вне аренды"))))</f>
        <v/>
      </c>
      <c r="G708" s="12">
        <f>IF(ISNUMBER(F708),IFERROR(INDEX(Брони!$C$2:$C$500,MATCH(F708,Брони!$A$2:$A$500,0)),""),"")</f>
        <v/>
      </c>
      <c r="H708" s="10" t="n"/>
      <c r="I708" s="18" t="n"/>
      <c r="J708" s="12">
        <f>IF(AND(ISNUMBER(F708),I708&lt;&gt;""),IFERROR(IF(AND(INDEX(Брони!$F$2:$F$500,MATCH(F708,Брони!$A$2:$A$500,0))="Возвращена",I708&gt;INDEX(Брони!$E$2:$E$500,MATCH(F708,Брони!$A$2:$A$500,0))),"Да",""),""),"")</f>
        <v/>
      </c>
      <c r="K708" s="10" t="n"/>
      <c r="L708" s="14" t="n"/>
      <c r="M708" s="15">
        <f>IF(OR(A708="",B708=""),"",IF(AND(ISNUMBER(F708),H708&lt;&gt;"Компания"),D708+L708,0))</f>
        <v/>
      </c>
      <c r="N708" s="21">
        <f>SUMPRODUCT(MAX((Брони!$B$2:$B$500=B708)*((Брони!$F$2:$F$500="Выдана")+(Брони!$F$2:$F$500="Возвращена"))*(Брони!$D$2:$D$500&lt;=A708)*Брони!$D$2:$D$500))</f>
        <v/>
      </c>
      <c r="O708" s="19">
        <f>SUMPRODUCT((Брони!$B$2:$B$500=B708)*(Брони!$D$2:$D$500=N708)*((((Брони!$F$2:$F$500="Выдана")*NOW())+((Брони!$F$2:$F$500="Возвращена")*Брони!$E$2:$E$500))&gt;=A708)*Брони!$A$2:$A$500)</f>
        <v/>
      </c>
      <c r="P708" s="19">
        <f>SUMPRODUCT((Брони!$B$2:$B$500=B708)*(Брони!$D$2:$D$500=N708)*(((Брони!$F$2:$F$500="Выдана")+(Брони!$F$2:$F$500="Возвращена"))))</f>
        <v/>
      </c>
      <c r="Q708" s="10" t="n"/>
    </row>
    <row r="709">
      <c r="A709" s="11" t="n"/>
      <c r="B709" s="10" t="n"/>
      <c r="C709" s="10" t="n"/>
      <c r="D709" s="14" t="n"/>
      <c r="E709" s="10" t="n"/>
      <c r="F709" s="20">
        <f>IF(OR(A709="",B709=""),"",IF(OR(NOT(ISNUMBER(A709)),ISERROR(N709+O709+P709)),"Проверьте даты",IF(AND(N709&gt;0,P709&gt;1),"Дубль",IF(AND(N709&gt;0,O709&gt;0),O709,"Вне аренды"))))</f>
        <v/>
      </c>
      <c r="G709" s="12">
        <f>IF(ISNUMBER(F709),IFERROR(INDEX(Брони!$C$2:$C$500,MATCH(F709,Брони!$A$2:$A$500,0)),""),"")</f>
        <v/>
      </c>
      <c r="H709" s="10" t="n"/>
      <c r="I709" s="18" t="n"/>
      <c r="J709" s="12">
        <f>IF(AND(ISNUMBER(F709),I709&lt;&gt;""),IFERROR(IF(AND(INDEX(Брони!$F$2:$F$500,MATCH(F709,Брони!$A$2:$A$500,0))="Возвращена",I709&gt;INDEX(Брони!$E$2:$E$500,MATCH(F709,Брони!$A$2:$A$500,0))),"Да",""),""),"")</f>
        <v/>
      </c>
      <c r="K709" s="10" t="n"/>
      <c r="L709" s="14" t="n"/>
      <c r="M709" s="15">
        <f>IF(OR(A709="",B709=""),"",IF(AND(ISNUMBER(F709),H709&lt;&gt;"Компания"),D709+L709,0))</f>
        <v/>
      </c>
      <c r="N709" s="21">
        <f>SUMPRODUCT(MAX((Брони!$B$2:$B$500=B709)*((Брони!$F$2:$F$500="Выдана")+(Брони!$F$2:$F$500="Возвращена"))*(Брони!$D$2:$D$500&lt;=A709)*Брони!$D$2:$D$500))</f>
        <v/>
      </c>
      <c r="O709" s="19">
        <f>SUMPRODUCT((Брони!$B$2:$B$500=B709)*(Брони!$D$2:$D$500=N709)*((((Брони!$F$2:$F$500="Выдана")*NOW())+((Брони!$F$2:$F$500="Возвращена")*Брони!$E$2:$E$500))&gt;=A709)*Брони!$A$2:$A$500)</f>
        <v/>
      </c>
      <c r="P709" s="19">
        <f>SUMPRODUCT((Брони!$B$2:$B$500=B709)*(Брони!$D$2:$D$500=N709)*(((Брони!$F$2:$F$500="Выдана")+(Брони!$F$2:$F$500="Возвращена"))))</f>
        <v/>
      </c>
      <c r="Q709" s="10" t="n"/>
    </row>
    <row r="710">
      <c r="A710" s="11" t="n"/>
      <c r="B710" s="10" t="n"/>
      <c r="C710" s="10" t="n"/>
      <c r="D710" s="14" t="n"/>
      <c r="E710" s="10" t="n"/>
      <c r="F710" s="20">
        <f>IF(OR(A710="",B710=""),"",IF(OR(NOT(ISNUMBER(A710)),ISERROR(N710+O710+P710)),"Проверьте даты",IF(AND(N710&gt;0,P710&gt;1),"Дубль",IF(AND(N710&gt;0,O710&gt;0),O710,"Вне аренды"))))</f>
        <v/>
      </c>
      <c r="G710" s="12">
        <f>IF(ISNUMBER(F710),IFERROR(INDEX(Брони!$C$2:$C$500,MATCH(F710,Брони!$A$2:$A$500,0)),""),"")</f>
        <v/>
      </c>
      <c r="H710" s="10" t="n"/>
      <c r="I710" s="18" t="n"/>
      <c r="J710" s="12">
        <f>IF(AND(ISNUMBER(F710),I710&lt;&gt;""),IFERROR(IF(AND(INDEX(Брони!$F$2:$F$500,MATCH(F710,Брони!$A$2:$A$500,0))="Возвращена",I710&gt;INDEX(Брони!$E$2:$E$500,MATCH(F710,Брони!$A$2:$A$500,0))),"Да",""),""),"")</f>
        <v/>
      </c>
      <c r="K710" s="10" t="n"/>
      <c r="L710" s="14" t="n"/>
      <c r="M710" s="15">
        <f>IF(OR(A710="",B710=""),"",IF(AND(ISNUMBER(F710),H710&lt;&gt;"Компания"),D710+L710,0))</f>
        <v/>
      </c>
      <c r="N710" s="21">
        <f>SUMPRODUCT(MAX((Брони!$B$2:$B$500=B710)*((Брони!$F$2:$F$500="Выдана")+(Брони!$F$2:$F$500="Возвращена"))*(Брони!$D$2:$D$500&lt;=A710)*Брони!$D$2:$D$500))</f>
        <v/>
      </c>
      <c r="O710" s="19">
        <f>SUMPRODUCT((Брони!$B$2:$B$500=B710)*(Брони!$D$2:$D$500=N710)*((((Брони!$F$2:$F$500="Выдана")*NOW())+((Брони!$F$2:$F$500="Возвращена")*Брони!$E$2:$E$500))&gt;=A710)*Брони!$A$2:$A$500)</f>
        <v/>
      </c>
      <c r="P710" s="19">
        <f>SUMPRODUCT((Брони!$B$2:$B$500=B710)*(Брони!$D$2:$D$500=N710)*(((Брони!$F$2:$F$500="Выдана")+(Брони!$F$2:$F$500="Возвращена"))))</f>
        <v/>
      </c>
      <c r="Q710" s="10" t="n"/>
    </row>
    <row r="711">
      <c r="A711" s="11" t="n"/>
      <c r="B711" s="10" t="n"/>
      <c r="C711" s="10" t="n"/>
      <c r="D711" s="14" t="n"/>
      <c r="E711" s="10" t="n"/>
      <c r="F711" s="20">
        <f>IF(OR(A711="",B711=""),"",IF(OR(NOT(ISNUMBER(A711)),ISERROR(N711+O711+P711)),"Проверьте даты",IF(AND(N711&gt;0,P711&gt;1),"Дубль",IF(AND(N711&gt;0,O711&gt;0),O711,"Вне аренды"))))</f>
        <v/>
      </c>
      <c r="G711" s="12">
        <f>IF(ISNUMBER(F711),IFERROR(INDEX(Брони!$C$2:$C$500,MATCH(F711,Брони!$A$2:$A$500,0)),""),"")</f>
        <v/>
      </c>
      <c r="H711" s="10" t="n"/>
      <c r="I711" s="18" t="n"/>
      <c r="J711" s="12">
        <f>IF(AND(ISNUMBER(F711),I711&lt;&gt;""),IFERROR(IF(AND(INDEX(Брони!$F$2:$F$500,MATCH(F711,Брони!$A$2:$A$500,0))="Возвращена",I711&gt;INDEX(Брони!$E$2:$E$500,MATCH(F711,Брони!$A$2:$A$500,0))),"Да",""),""),"")</f>
        <v/>
      </c>
      <c r="K711" s="10" t="n"/>
      <c r="L711" s="14" t="n"/>
      <c r="M711" s="15">
        <f>IF(OR(A711="",B711=""),"",IF(AND(ISNUMBER(F711),H711&lt;&gt;"Компания"),D711+L711,0))</f>
        <v/>
      </c>
      <c r="N711" s="21">
        <f>SUMPRODUCT(MAX((Брони!$B$2:$B$500=B711)*((Брони!$F$2:$F$500="Выдана")+(Брони!$F$2:$F$500="Возвращена"))*(Брони!$D$2:$D$500&lt;=A711)*Брони!$D$2:$D$500))</f>
        <v/>
      </c>
      <c r="O711" s="19">
        <f>SUMPRODUCT((Брони!$B$2:$B$500=B711)*(Брони!$D$2:$D$500=N711)*((((Брони!$F$2:$F$500="Выдана")*NOW())+((Брони!$F$2:$F$500="Возвращена")*Брони!$E$2:$E$500))&gt;=A711)*Брони!$A$2:$A$500)</f>
        <v/>
      </c>
      <c r="P711" s="19">
        <f>SUMPRODUCT((Брони!$B$2:$B$500=B711)*(Брони!$D$2:$D$500=N711)*(((Брони!$F$2:$F$500="Выдана")+(Брони!$F$2:$F$500="Возвращена"))))</f>
        <v/>
      </c>
      <c r="Q711" s="10" t="n"/>
    </row>
    <row r="712">
      <c r="A712" s="11" t="n"/>
      <c r="B712" s="10" t="n"/>
      <c r="C712" s="10" t="n"/>
      <c r="D712" s="14" t="n"/>
      <c r="E712" s="10" t="n"/>
      <c r="F712" s="20">
        <f>IF(OR(A712="",B712=""),"",IF(OR(NOT(ISNUMBER(A712)),ISERROR(N712+O712+P712)),"Проверьте даты",IF(AND(N712&gt;0,P712&gt;1),"Дубль",IF(AND(N712&gt;0,O712&gt;0),O712,"Вне аренды"))))</f>
        <v/>
      </c>
      <c r="G712" s="12">
        <f>IF(ISNUMBER(F712),IFERROR(INDEX(Брони!$C$2:$C$500,MATCH(F712,Брони!$A$2:$A$500,0)),""),"")</f>
        <v/>
      </c>
      <c r="H712" s="10" t="n"/>
      <c r="I712" s="18" t="n"/>
      <c r="J712" s="12">
        <f>IF(AND(ISNUMBER(F712),I712&lt;&gt;""),IFERROR(IF(AND(INDEX(Брони!$F$2:$F$500,MATCH(F712,Брони!$A$2:$A$500,0))="Возвращена",I712&gt;INDEX(Брони!$E$2:$E$500,MATCH(F712,Брони!$A$2:$A$500,0))),"Да",""),""),"")</f>
        <v/>
      </c>
      <c r="K712" s="10" t="n"/>
      <c r="L712" s="14" t="n"/>
      <c r="M712" s="15">
        <f>IF(OR(A712="",B712=""),"",IF(AND(ISNUMBER(F712),H712&lt;&gt;"Компания"),D712+L712,0))</f>
        <v/>
      </c>
      <c r="N712" s="21">
        <f>SUMPRODUCT(MAX((Брони!$B$2:$B$500=B712)*((Брони!$F$2:$F$500="Выдана")+(Брони!$F$2:$F$500="Возвращена"))*(Брони!$D$2:$D$500&lt;=A712)*Брони!$D$2:$D$500))</f>
        <v/>
      </c>
      <c r="O712" s="19">
        <f>SUMPRODUCT((Брони!$B$2:$B$500=B712)*(Брони!$D$2:$D$500=N712)*((((Брони!$F$2:$F$500="Выдана")*NOW())+((Брони!$F$2:$F$500="Возвращена")*Брони!$E$2:$E$500))&gt;=A712)*Брони!$A$2:$A$500)</f>
        <v/>
      </c>
      <c r="P712" s="19">
        <f>SUMPRODUCT((Брони!$B$2:$B$500=B712)*(Брони!$D$2:$D$500=N712)*(((Брони!$F$2:$F$500="Выдана")+(Брони!$F$2:$F$500="Возвращена"))))</f>
        <v/>
      </c>
      <c r="Q712" s="10" t="n"/>
    </row>
    <row r="713">
      <c r="A713" s="11" t="n"/>
      <c r="B713" s="10" t="n"/>
      <c r="C713" s="10" t="n"/>
      <c r="D713" s="14" t="n"/>
      <c r="E713" s="10" t="n"/>
      <c r="F713" s="20">
        <f>IF(OR(A713="",B713=""),"",IF(OR(NOT(ISNUMBER(A713)),ISERROR(N713+O713+P713)),"Проверьте даты",IF(AND(N713&gt;0,P713&gt;1),"Дубль",IF(AND(N713&gt;0,O713&gt;0),O713,"Вне аренды"))))</f>
        <v/>
      </c>
      <c r="G713" s="12">
        <f>IF(ISNUMBER(F713),IFERROR(INDEX(Брони!$C$2:$C$500,MATCH(F713,Брони!$A$2:$A$500,0)),""),"")</f>
        <v/>
      </c>
      <c r="H713" s="10" t="n"/>
      <c r="I713" s="18" t="n"/>
      <c r="J713" s="12">
        <f>IF(AND(ISNUMBER(F713),I713&lt;&gt;""),IFERROR(IF(AND(INDEX(Брони!$F$2:$F$500,MATCH(F713,Брони!$A$2:$A$500,0))="Возвращена",I713&gt;INDEX(Брони!$E$2:$E$500,MATCH(F713,Брони!$A$2:$A$500,0))),"Да",""),""),"")</f>
        <v/>
      </c>
      <c r="K713" s="10" t="n"/>
      <c r="L713" s="14" t="n"/>
      <c r="M713" s="15">
        <f>IF(OR(A713="",B713=""),"",IF(AND(ISNUMBER(F713),H713&lt;&gt;"Компания"),D713+L713,0))</f>
        <v/>
      </c>
      <c r="N713" s="21">
        <f>SUMPRODUCT(MAX((Брони!$B$2:$B$500=B713)*((Брони!$F$2:$F$500="Выдана")+(Брони!$F$2:$F$500="Возвращена"))*(Брони!$D$2:$D$500&lt;=A713)*Брони!$D$2:$D$500))</f>
        <v/>
      </c>
      <c r="O713" s="19">
        <f>SUMPRODUCT((Брони!$B$2:$B$500=B713)*(Брони!$D$2:$D$500=N713)*((((Брони!$F$2:$F$500="Выдана")*NOW())+((Брони!$F$2:$F$500="Возвращена")*Брони!$E$2:$E$500))&gt;=A713)*Брони!$A$2:$A$500)</f>
        <v/>
      </c>
      <c r="P713" s="19">
        <f>SUMPRODUCT((Брони!$B$2:$B$500=B713)*(Брони!$D$2:$D$500=N713)*(((Брони!$F$2:$F$500="Выдана")+(Брони!$F$2:$F$500="Возвращена"))))</f>
        <v/>
      </c>
      <c r="Q713" s="10" t="n"/>
    </row>
    <row r="714">
      <c r="A714" s="11" t="n"/>
      <c r="B714" s="10" t="n"/>
      <c r="C714" s="10" t="n"/>
      <c r="D714" s="14" t="n"/>
      <c r="E714" s="10" t="n"/>
      <c r="F714" s="20">
        <f>IF(OR(A714="",B714=""),"",IF(OR(NOT(ISNUMBER(A714)),ISERROR(N714+O714+P714)),"Проверьте даты",IF(AND(N714&gt;0,P714&gt;1),"Дубль",IF(AND(N714&gt;0,O714&gt;0),O714,"Вне аренды"))))</f>
        <v/>
      </c>
      <c r="G714" s="12">
        <f>IF(ISNUMBER(F714),IFERROR(INDEX(Брони!$C$2:$C$500,MATCH(F714,Брони!$A$2:$A$500,0)),""),"")</f>
        <v/>
      </c>
      <c r="H714" s="10" t="n"/>
      <c r="I714" s="18" t="n"/>
      <c r="J714" s="12">
        <f>IF(AND(ISNUMBER(F714),I714&lt;&gt;""),IFERROR(IF(AND(INDEX(Брони!$F$2:$F$500,MATCH(F714,Брони!$A$2:$A$500,0))="Возвращена",I714&gt;INDEX(Брони!$E$2:$E$500,MATCH(F714,Брони!$A$2:$A$500,0))),"Да",""),""),"")</f>
        <v/>
      </c>
      <c r="K714" s="10" t="n"/>
      <c r="L714" s="14" t="n"/>
      <c r="M714" s="15">
        <f>IF(OR(A714="",B714=""),"",IF(AND(ISNUMBER(F714),H714&lt;&gt;"Компания"),D714+L714,0))</f>
        <v/>
      </c>
      <c r="N714" s="21">
        <f>SUMPRODUCT(MAX((Брони!$B$2:$B$500=B714)*((Брони!$F$2:$F$500="Выдана")+(Брони!$F$2:$F$500="Возвращена"))*(Брони!$D$2:$D$500&lt;=A714)*Брони!$D$2:$D$500))</f>
        <v/>
      </c>
      <c r="O714" s="19">
        <f>SUMPRODUCT((Брони!$B$2:$B$500=B714)*(Брони!$D$2:$D$500=N714)*((((Брони!$F$2:$F$500="Выдана")*NOW())+((Брони!$F$2:$F$500="Возвращена")*Брони!$E$2:$E$500))&gt;=A714)*Брони!$A$2:$A$500)</f>
        <v/>
      </c>
      <c r="P714" s="19">
        <f>SUMPRODUCT((Брони!$B$2:$B$500=B714)*(Брони!$D$2:$D$500=N714)*(((Брони!$F$2:$F$500="Выдана")+(Брони!$F$2:$F$500="Возвращена"))))</f>
        <v/>
      </c>
      <c r="Q714" s="10" t="n"/>
    </row>
    <row r="715">
      <c r="A715" s="11" t="n"/>
      <c r="B715" s="10" t="n"/>
      <c r="C715" s="10" t="n"/>
      <c r="D715" s="14" t="n"/>
      <c r="E715" s="10" t="n"/>
      <c r="F715" s="20">
        <f>IF(OR(A715="",B715=""),"",IF(OR(NOT(ISNUMBER(A715)),ISERROR(N715+O715+P715)),"Проверьте даты",IF(AND(N715&gt;0,P715&gt;1),"Дубль",IF(AND(N715&gt;0,O715&gt;0),O715,"Вне аренды"))))</f>
        <v/>
      </c>
      <c r="G715" s="12">
        <f>IF(ISNUMBER(F715),IFERROR(INDEX(Брони!$C$2:$C$500,MATCH(F715,Брони!$A$2:$A$500,0)),""),"")</f>
        <v/>
      </c>
      <c r="H715" s="10" t="n"/>
      <c r="I715" s="18" t="n"/>
      <c r="J715" s="12">
        <f>IF(AND(ISNUMBER(F715),I715&lt;&gt;""),IFERROR(IF(AND(INDEX(Брони!$F$2:$F$500,MATCH(F715,Брони!$A$2:$A$500,0))="Возвращена",I715&gt;INDEX(Брони!$E$2:$E$500,MATCH(F715,Брони!$A$2:$A$500,0))),"Да",""),""),"")</f>
        <v/>
      </c>
      <c r="K715" s="10" t="n"/>
      <c r="L715" s="14" t="n"/>
      <c r="M715" s="15">
        <f>IF(OR(A715="",B715=""),"",IF(AND(ISNUMBER(F715),H715&lt;&gt;"Компания"),D715+L715,0))</f>
        <v/>
      </c>
      <c r="N715" s="21">
        <f>SUMPRODUCT(MAX((Брони!$B$2:$B$500=B715)*((Брони!$F$2:$F$500="Выдана")+(Брони!$F$2:$F$500="Возвращена"))*(Брони!$D$2:$D$500&lt;=A715)*Брони!$D$2:$D$500))</f>
        <v/>
      </c>
      <c r="O715" s="19">
        <f>SUMPRODUCT((Брони!$B$2:$B$500=B715)*(Брони!$D$2:$D$500=N715)*((((Брони!$F$2:$F$500="Выдана")*NOW())+((Брони!$F$2:$F$500="Возвращена")*Брони!$E$2:$E$500))&gt;=A715)*Брони!$A$2:$A$500)</f>
        <v/>
      </c>
      <c r="P715" s="19">
        <f>SUMPRODUCT((Брони!$B$2:$B$500=B715)*(Брони!$D$2:$D$500=N715)*(((Брони!$F$2:$F$500="Выдана")+(Брони!$F$2:$F$500="Возвращена"))))</f>
        <v/>
      </c>
      <c r="Q715" s="10" t="n"/>
    </row>
    <row r="716">
      <c r="A716" s="11" t="n"/>
      <c r="B716" s="10" t="n"/>
      <c r="C716" s="10" t="n"/>
      <c r="D716" s="14" t="n"/>
      <c r="E716" s="10" t="n"/>
      <c r="F716" s="20">
        <f>IF(OR(A716="",B716=""),"",IF(OR(NOT(ISNUMBER(A716)),ISERROR(N716+O716+P716)),"Проверьте даты",IF(AND(N716&gt;0,P716&gt;1),"Дубль",IF(AND(N716&gt;0,O716&gt;0),O716,"Вне аренды"))))</f>
        <v/>
      </c>
      <c r="G716" s="12">
        <f>IF(ISNUMBER(F716),IFERROR(INDEX(Брони!$C$2:$C$500,MATCH(F716,Брони!$A$2:$A$500,0)),""),"")</f>
        <v/>
      </c>
      <c r="H716" s="10" t="n"/>
      <c r="I716" s="18" t="n"/>
      <c r="J716" s="12">
        <f>IF(AND(ISNUMBER(F716),I716&lt;&gt;""),IFERROR(IF(AND(INDEX(Брони!$F$2:$F$500,MATCH(F716,Брони!$A$2:$A$500,0))="Возвращена",I716&gt;INDEX(Брони!$E$2:$E$500,MATCH(F716,Брони!$A$2:$A$500,0))),"Да",""),""),"")</f>
        <v/>
      </c>
      <c r="K716" s="10" t="n"/>
      <c r="L716" s="14" t="n"/>
      <c r="M716" s="15">
        <f>IF(OR(A716="",B716=""),"",IF(AND(ISNUMBER(F716),H716&lt;&gt;"Компания"),D716+L716,0))</f>
        <v/>
      </c>
      <c r="N716" s="21">
        <f>SUMPRODUCT(MAX((Брони!$B$2:$B$500=B716)*((Брони!$F$2:$F$500="Выдана")+(Брони!$F$2:$F$500="Возвращена"))*(Брони!$D$2:$D$500&lt;=A716)*Брони!$D$2:$D$500))</f>
        <v/>
      </c>
      <c r="O716" s="19">
        <f>SUMPRODUCT((Брони!$B$2:$B$500=B716)*(Брони!$D$2:$D$500=N716)*((((Брони!$F$2:$F$500="Выдана")*NOW())+((Брони!$F$2:$F$500="Возвращена")*Брони!$E$2:$E$500))&gt;=A716)*Брони!$A$2:$A$500)</f>
        <v/>
      </c>
      <c r="P716" s="19">
        <f>SUMPRODUCT((Брони!$B$2:$B$500=B716)*(Брони!$D$2:$D$500=N716)*(((Брони!$F$2:$F$500="Выдана")+(Брони!$F$2:$F$500="Возвращена"))))</f>
        <v/>
      </c>
      <c r="Q716" s="10" t="n"/>
    </row>
    <row r="717">
      <c r="A717" s="11" t="n"/>
      <c r="B717" s="10" t="n"/>
      <c r="C717" s="10" t="n"/>
      <c r="D717" s="14" t="n"/>
      <c r="E717" s="10" t="n"/>
      <c r="F717" s="20">
        <f>IF(OR(A717="",B717=""),"",IF(OR(NOT(ISNUMBER(A717)),ISERROR(N717+O717+P717)),"Проверьте даты",IF(AND(N717&gt;0,P717&gt;1),"Дубль",IF(AND(N717&gt;0,O717&gt;0),O717,"Вне аренды"))))</f>
        <v/>
      </c>
      <c r="G717" s="12">
        <f>IF(ISNUMBER(F717),IFERROR(INDEX(Брони!$C$2:$C$500,MATCH(F717,Брони!$A$2:$A$500,0)),""),"")</f>
        <v/>
      </c>
      <c r="H717" s="10" t="n"/>
      <c r="I717" s="18" t="n"/>
      <c r="J717" s="12">
        <f>IF(AND(ISNUMBER(F717),I717&lt;&gt;""),IFERROR(IF(AND(INDEX(Брони!$F$2:$F$500,MATCH(F717,Брони!$A$2:$A$500,0))="Возвращена",I717&gt;INDEX(Брони!$E$2:$E$500,MATCH(F717,Брони!$A$2:$A$500,0))),"Да",""),""),"")</f>
        <v/>
      </c>
      <c r="K717" s="10" t="n"/>
      <c r="L717" s="14" t="n"/>
      <c r="M717" s="15">
        <f>IF(OR(A717="",B717=""),"",IF(AND(ISNUMBER(F717),H717&lt;&gt;"Компания"),D717+L717,0))</f>
        <v/>
      </c>
      <c r="N717" s="21">
        <f>SUMPRODUCT(MAX((Брони!$B$2:$B$500=B717)*((Брони!$F$2:$F$500="Выдана")+(Брони!$F$2:$F$500="Возвращена"))*(Брони!$D$2:$D$500&lt;=A717)*Брони!$D$2:$D$500))</f>
        <v/>
      </c>
      <c r="O717" s="19">
        <f>SUMPRODUCT((Брони!$B$2:$B$500=B717)*(Брони!$D$2:$D$500=N717)*((((Брони!$F$2:$F$500="Выдана")*NOW())+((Брони!$F$2:$F$500="Возвращена")*Брони!$E$2:$E$500))&gt;=A717)*Брони!$A$2:$A$500)</f>
        <v/>
      </c>
      <c r="P717" s="19">
        <f>SUMPRODUCT((Брони!$B$2:$B$500=B717)*(Брони!$D$2:$D$500=N717)*(((Брони!$F$2:$F$500="Выдана")+(Брони!$F$2:$F$500="Возвращена"))))</f>
        <v/>
      </c>
      <c r="Q717" s="10" t="n"/>
    </row>
    <row r="718">
      <c r="A718" s="11" t="n"/>
      <c r="B718" s="10" t="n"/>
      <c r="C718" s="10" t="n"/>
      <c r="D718" s="14" t="n"/>
      <c r="E718" s="10" t="n"/>
      <c r="F718" s="20">
        <f>IF(OR(A718="",B718=""),"",IF(OR(NOT(ISNUMBER(A718)),ISERROR(N718+O718+P718)),"Проверьте даты",IF(AND(N718&gt;0,P718&gt;1),"Дубль",IF(AND(N718&gt;0,O718&gt;0),O718,"Вне аренды"))))</f>
        <v/>
      </c>
      <c r="G718" s="12">
        <f>IF(ISNUMBER(F718),IFERROR(INDEX(Брони!$C$2:$C$500,MATCH(F718,Брони!$A$2:$A$500,0)),""),"")</f>
        <v/>
      </c>
      <c r="H718" s="10" t="n"/>
      <c r="I718" s="18" t="n"/>
      <c r="J718" s="12">
        <f>IF(AND(ISNUMBER(F718),I718&lt;&gt;""),IFERROR(IF(AND(INDEX(Брони!$F$2:$F$500,MATCH(F718,Брони!$A$2:$A$500,0))="Возвращена",I718&gt;INDEX(Брони!$E$2:$E$500,MATCH(F718,Брони!$A$2:$A$500,0))),"Да",""),""),"")</f>
        <v/>
      </c>
      <c r="K718" s="10" t="n"/>
      <c r="L718" s="14" t="n"/>
      <c r="M718" s="15">
        <f>IF(OR(A718="",B718=""),"",IF(AND(ISNUMBER(F718),H718&lt;&gt;"Компания"),D718+L718,0))</f>
        <v/>
      </c>
      <c r="N718" s="21">
        <f>SUMPRODUCT(MAX((Брони!$B$2:$B$500=B718)*((Брони!$F$2:$F$500="Выдана")+(Брони!$F$2:$F$500="Возвращена"))*(Брони!$D$2:$D$500&lt;=A718)*Брони!$D$2:$D$500))</f>
        <v/>
      </c>
      <c r="O718" s="19">
        <f>SUMPRODUCT((Брони!$B$2:$B$500=B718)*(Брони!$D$2:$D$500=N718)*((((Брони!$F$2:$F$500="Выдана")*NOW())+((Брони!$F$2:$F$500="Возвращена")*Брони!$E$2:$E$500))&gt;=A718)*Брони!$A$2:$A$500)</f>
        <v/>
      </c>
      <c r="P718" s="19">
        <f>SUMPRODUCT((Брони!$B$2:$B$500=B718)*(Брони!$D$2:$D$500=N718)*(((Брони!$F$2:$F$500="Выдана")+(Брони!$F$2:$F$500="Возвращена"))))</f>
        <v/>
      </c>
      <c r="Q718" s="10" t="n"/>
    </row>
    <row r="719">
      <c r="A719" s="11" t="n"/>
      <c r="B719" s="10" t="n"/>
      <c r="C719" s="10" t="n"/>
      <c r="D719" s="14" t="n"/>
      <c r="E719" s="10" t="n"/>
      <c r="F719" s="20">
        <f>IF(OR(A719="",B719=""),"",IF(OR(NOT(ISNUMBER(A719)),ISERROR(N719+O719+P719)),"Проверьте даты",IF(AND(N719&gt;0,P719&gt;1),"Дубль",IF(AND(N719&gt;0,O719&gt;0),O719,"Вне аренды"))))</f>
        <v/>
      </c>
      <c r="G719" s="12">
        <f>IF(ISNUMBER(F719),IFERROR(INDEX(Брони!$C$2:$C$500,MATCH(F719,Брони!$A$2:$A$500,0)),""),"")</f>
        <v/>
      </c>
      <c r="H719" s="10" t="n"/>
      <c r="I719" s="18" t="n"/>
      <c r="J719" s="12">
        <f>IF(AND(ISNUMBER(F719),I719&lt;&gt;""),IFERROR(IF(AND(INDEX(Брони!$F$2:$F$500,MATCH(F719,Брони!$A$2:$A$500,0))="Возвращена",I719&gt;INDEX(Брони!$E$2:$E$500,MATCH(F719,Брони!$A$2:$A$500,0))),"Да",""),""),"")</f>
        <v/>
      </c>
      <c r="K719" s="10" t="n"/>
      <c r="L719" s="14" t="n"/>
      <c r="M719" s="15">
        <f>IF(OR(A719="",B719=""),"",IF(AND(ISNUMBER(F719),H719&lt;&gt;"Компания"),D719+L719,0))</f>
        <v/>
      </c>
      <c r="N719" s="21">
        <f>SUMPRODUCT(MAX((Брони!$B$2:$B$500=B719)*((Брони!$F$2:$F$500="Выдана")+(Брони!$F$2:$F$500="Возвращена"))*(Брони!$D$2:$D$500&lt;=A719)*Брони!$D$2:$D$500))</f>
        <v/>
      </c>
      <c r="O719" s="19">
        <f>SUMPRODUCT((Брони!$B$2:$B$500=B719)*(Брони!$D$2:$D$500=N719)*((((Брони!$F$2:$F$500="Выдана")*NOW())+((Брони!$F$2:$F$500="Возвращена")*Брони!$E$2:$E$500))&gt;=A719)*Брони!$A$2:$A$500)</f>
        <v/>
      </c>
      <c r="P719" s="19">
        <f>SUMPRODUCT((Брони!$B$2:$B$500=B719)*(Брони!$D$2:$D$500=N719)*(((Брони!$F$2:$F$500="Выдана")+(Брони!$F$2:$F$500="Возвращена"))))</f>
        <v/>
      </c>
      <c r="Q719" s="10" t="n"/>
    </row>
    <row r="720">
      <c r="A720" s="11" t="n"/>
      <c r="B720" s="10" t="n"/>
      <c r="C720" s="10" t="n"/>
      <c r="D720" s="14" t="n"/>
      <c r="E720" s="10" t="n"/>
      <c r="F720" s="20">
        <f>IF(OR(A720="",B720=""),"",IF(OR(NOT(ISNUMBER(A720)),ISERROR(N720+O720+P720)),"Проверьте даты",IF(AND(N720&gt;0,P720&gt;1),"Дубль",IF(AND(N720&gt;0,O720&gt;0),O720,"Вне аренды"))))</f>
        <v/>
      </c>
      <c r="G720" s="12">
        <f>IF(ISNUMBER(F720),IFERROR(INDEX(Брони!$C$2:$C$500,MATCH(F720,Брони!$A$2:$A$500,0)),""),"")</f>
        <v/>
      </c>
      <c r="H720" s="10" t="n"/>
      <c r="I720" s="18" t="n"/>
      <c r="J720" s="12">
        <f>IF(AND(ISNUMBER(F720),I720&lt;&gt;""),IFERROR(IF(AND(INDEX(Брони!$F$2:$F$500,MATCH(F720,Брони!$A$2:$A$500,0))="Возвращена",I720&gt;INDEX(Брони!$E$2:$E$500,MATCH(F720,Брони!$A$2:$A$500,0))),"Да",""),""),"")</f>
        <v/>
      </c>
      <c r="K720" s="10" t="n"/>
      <c r="L720" s="14" t="n"/>
      <c r="M720" s="15">
        <f>IF(OR(A720="",B720=""),"",IF(AND(ISNUMBER(F720),H720&lt;&gt;"Компания"),D720+L720,0))</f>
        <v/>
      </c>
      <c r="N720" s="21">
        <f>SUMPRODUCT(MAX((Брони!$B$2:$B$500=B720)*((Брони!$F$2:$F$500="Выдана")+(Брони!$F$2:$F$500="Возвращена"))*(Брони!$D$2:$D$500&lt;=A720)*Брони!$D$2:$D$500))</f>
        <v/>
      </c>
      <c r="O720" s="19">
        <f>SUMPRODUCT((Брони!$B$2:$B$500=B720)*(Брони!$D$2:$D$500=N720)*((((Брони!$F$2:$F$500="Выдана")*NOW())+((Брони!$F$2:$F$500="Возвращена")*Брони!$E$2:$E$500))&gt;=A720)*Брони!$A$2:$A$500)</f>
        <v/>
      </c>
      <c r="P720" s="19">
        <f>SUMPRODUCT((Брони!$B$2:$B$500=B720)*(Брони!$D$2:$D$500=N720)*(((Брони!$F$2:$F$500="Выдана")+(Брони!$F$2:$F$500="Возвращена"))))</f>
        <v/>
      </c>
      <c r="Q720" s="10" t="n"/>
    </row>
    <row r="721">
      <c r="A721" s="11" t="n"/>
      <c r="B721" s="10" t="n"/>
      <c r="C721" s="10" t="n"/>
      <c r="D721" s="14" t="n"/>
      <c r="E721" s="10" t="n"/>
      <c r="F721" s="20">
        <f>IF(OR(A721="",B721=""),"",IF(OR(NOT(ISNUMBER(A721)),ISERROR(N721+O721+P721)),"Проверьте даты",IF(AND(N721&gt;0,P721&gt;1),"Дубль",IF(AND(N721&gt;0,O721&gt;0),O721,"Вне аренды"))))</f>
        <v/>
      </c>
      <c r="G721" s="12">
        <f>IF(ISNUMBER(F721),IFERROR(INDEX(Брони!$C$2:$C$500,MATCH(F721,Брони!$A$2:$A$500,0)),""),"")</f>
        <v/>
      </c>
      <c r="H721" s="10" t="n"/>
      <c r="I721" s="18" t="n"/>
      <c r="J721" s="12">
        <f>IF(AND(ISNUMBER(F721),I721&lt;&gt;""),IFERROR(IF(AND(INDEX(Брони!$F$2:$F$500,MATCH(F721,Брони!$A$2:$A$500,0))="Возвращена",I721&gt;INDEX(Брони!$E$2:$E$500,MATCH(F721,Брони!$A$2:$A$500,0))),"Да",""),""),"")</f>
        <v/>
      </c>
      <c r="K721" s="10" t="n"/>
      <c r="L721" s="14" t="n"/>
      <c r="M721" s="15">
        <f>IF(OR(A721="",B721=""),"",IF(AND(ISNUMBER(F721),H721&lt;&gt;"Компания"),D721+L721,0))</f>
        <v/>
      </c>
      <c r="N721" s="21">
        <f>SUMPRODUCT(MAX((Брони!$B$2:$B$500=B721)*((Брони!$F$2:$F$500="Выдана")+(Брони!$F$2:$F$500="Возвращена"))*(Брони!$D$2:$D$500&lt;=A721)*Брони!$D$2:$D$500))</f>
        <v/>
      </c>
      <c r="O721" s="19">
        <f>SUMPRODUCT((Брони!$B$2:$B$500=B721)*(Брони!$D$2:$D$500=N721)*((((Брони!$F$2:$F$500="Выдана")*NOW())+((Брони!$F$2:$F$500="Возвращена")*Брони!$E$2:$E$500))&gt;=A721)*Брони!$A$2:$A$500)</f>
        <v/>
      </c>
      <c r="P721" s="19">
        <f>SUMPRODUCT((Брони!$B$2:$B$500=B721)*(Брони!$D$2:$D$500=N721)*(((Брони!$F$2:$F$500="Выдана")+(Брони!$F$2:$F$500="Возвращена"))))</f>
        <v/>
      </c>
      <c r="Q721" s="10" t="n"/>
    </row>
    <row r="722">
      <c r="A722" s="11" t="n"/>
      <c r="B722" s="10" t="n"/>
      <c r="C722" s="10" t="n"/>
      <c r="D722" s="14" t="n"/>
      <c r="E722" s="10" t="n"/>
      <c r="F722" s="20">
        <f>IF(OR(A722="",B722=""),"",IF(OR(NOT(ISNUMBER(A722)),ISERROR(N722+O722+P722)),"Проверьте даты",IF(AND(N722&gt;0,P722&gt;1),"Дубль",IF(AND(N722&gt;0,O722&gt;0),O722,"Вне аренды"))))</f>
        <v/>
      </c>
      <c r="G722" s="12">
        <f>IF(ISNUMBER(F722),IFERROR(INDEX(Брони!$C$2:$C$500,MATCH(F722,Брони!$A$2:$A$500,0)),""),"")</f>
        <v/>
      </c>
      <c r="H722" s="10" t="n"/>
      <c r="I722" s="18" t="n"/>
      <c r="J722" s="12">
        <f>IF(AND(ISNUMBER(F722),I722&lt;&gt;""),IFERROR(IF(AND(INDEX(Брони!$F$2:$F$500,MATCH(F722,Брони!$A$2:$A$500,0))="Возвращена",I722&gt;INDEX(Брони!$E$2:$E$500,MATCH(F722,Брони!$A$2:$A$500,0))),"Да",""),""),"")</f>
        <v/>
      </c>
      <c r="K722" s="10" t="n"/>
      <c r="L722" s="14" t="n"/>
      <c r="M722" s="15">
        <f>IF(OR(A722="",B722=""),"",IF(AND(ISNUMBER(F722),H722&lt;&gt;"Компания"),D722+L722,0))</f>
        <v/>
      </c>
      <c r="N722" s="21">
        <f>SUMPRODUCT(MAX((Брони!$B$2:$B$500=B722)*((Брони!$F$2:$F$500="Выдана")+(Брони!$F$2:$F$500="Возвращена"))*(Брони!$D$2:$D$500&lt;=A722)*Брони!$D$2:$D$500))</f>
        <v/>
      </c>
      <c r="O722" s="19">
        <f>SUMPRODUCT((Брони!$B$2:$B$500=B722)*(Брони!$D$2:$D$500=N722)*((((Брони!$F$2:$F$500="Выдана")*NOW())+((Брони!$F$2:$F$500="Возвращена")*Брони!$E$2:$E$500))&gt;=A722)*Брони!$A$2:$A$500)</f>
        <v/>
      </c>
      <c r="P722" s="19">
        <f>SUMPRODUCT((Брони!$B$2:$B$500=B722)*(Брони!$D$2:$D$500=N722)*(((Брони!$F$2:$F$500="Выдана")+(Брони!$F$2:$F$500="Возвращена"))))</f>
        <v/>
      </c>
      <c r="Q722" s="10" t="n"/>
    </row>
    <row r="723">
      <c r="A723" s="11" t="n"/>
      <c r="B723" s="10" t="n"/>
      <c r="C723" s="10" t="n"/>
      <c r="D723" s="14" t="n"/>
      <c r="E723" s="10" t="n"/>
      <c r="F723" s="20">
        <f>IF(OR(A723="",B723=""),"",IF(OR(NOT(ISNUMBER(A723)),ISERROR(N723+O723+P723)),"Проверьте даты",IF(AND(N723&gt;0,P723&gt;1),"Дубль",IF(AND(N723&gt;0,O723&gt;0),O723,"Вне аренды"))))</f>
        <v/>
      </c>
      <c r="G723" s="12">
        <f>IF(ISNUMBER(F723),IFERROR(INDEX(Брони!$C$2:$C$500,MATCH(F723,Брони!$A$2:$A$500,0)),""),"")</f>
        <v/>
      </c>
      <c r="H723" s="10" t="n"/>
      <c r="I723" s="18" t="n"/>
      <c r="J723" s="12">
        <f>IF(AND(ISNUMBER(F723),I723&lt;&gt;""),IFERROR(IF(AND(INDEX(Брони!$F$2:$F$500,MATCH(F723,Брони!$A$2:$A$500,0))="Возвращена",I723&gt;INDEX(Брони!$E$2:$E$500,MATCH(F723,Брони!$A$2:$A$500,0))),"Да",""),""),"")</f>
        <v/>
      </c>
      <c r="K723" s="10" t="n"/>
      <c r="L723" s="14" t="n"/>
      <c r="M723" s="15">
        <f>IF(OR(A723="",B723=""),"",IF(AND(ISNUMBER(F723),H723&lt;&gt;"Компания"),D723+L723,0))</f>
        <v/>
      </c>
      <c r="N723" s="21">
        <f>SUMPRODUCT(MAX((Брони!$B$2:$B$500=B723)*((Брони!$F$2:$F$500="Выдана")+(Брони!$F$2:$F$500="Возвращена"))*(Брони!$D$2:$D$500&lt;=A723)*Брони!$D$2:$D$500))</f>
        <v/>
      </c>
      <c r="O723" s="19">
        <f>SUMPRODUCT((Брони!$B$2:$B$500=B723)*(Брони!$D$2:$D$500=N723)*((((Брони!$F$2:$F$500="Выдана")*NOW())+((Брони!$F$2:$F$500="Возвращена")*Брони!$E$2:$E$500))&gt;=A723)*Брони!$A$2:$A$500)</f>
        <v/>
      </c>
      <c r="P723" s="19">
        <f>SUMPRODUCT((Брони!$B$2:$B$500=B723)*(Брони!$D$2:$D$500=N723)*(((Брони!$F$2:$F$500="Выдана")+(Брони!$F$2:$F$500="Возвращена"))))</f>
        <v/>
      </c>
      <c r="Q723" s="10" t="n"/>
    </row>
    <row r="724">
      <c r="A724" s="11" t="n"/>
      <c r="B724" s="10" t="n"/>
      <c r="C724" s="10" t="n"/>
      <c r="D724" s="14" t="n"/>
      <c r="E724" s="10" t="n"/>
      <c r="F724" s="20">
        <f>IF(OR(A724="",B724=""),"",IF(OR(NOT(ISNUMBER(A724)),ISERROR(N724+O724+P724)),"Проверьте даты",IF(AND(N724&gt;0,P724&gt;1),"Дубль",IF(AND(N724&gt;0,O724&gt;0),O724,"Вне аренды"))))</f>
        <v/>
      </c>
      <c r="G724" s="12">
        <f>IF(ISNUMBER(F724),IFERROR(INDEX(Брони!$C$2:$C$500,MATCH(F724,Брони!$A$2:$A$500,0)),""),"")</f>
        <v/>
      </c>
      <c r="H724" s="10" t="n"/>
      <c r="I724" s="18" t="n"/>
      <c r="J724" s="12">
        <f>IF(AND(ISNUMBER(F724),I724&lt;&gt;""),IFERROR(IF(AND(INDEX(Брони!$F$2:$F$500,MATCH(F724,Брони!$A$2:$A$500,0))="Возвращена",I724&gt;INDEX(Брони!$E$2:$E$500,MATCH(F724,Брони!$A$2:$A$500,0))),"Да",""),""),"")</f>
        <v/>
      </c>
      <c r="K724" s="10" t="n"/>
      <c r="L724" s="14" t="n"/>
      <c r="M724" s="15">
        <f>IF(OR(A724="",B724=""),"",IF(AND(ISNUMBER(F724),H724&lt;&gt;"Компания"),D724+L724,0))</f>
        <v/>
      </c>
      <c r="N724" s="21">
        <f>SUMPRODUCT(MAX((Брони!$B$2:$B$500=B724)*((Брони!$F$2:$F$500="Выдана")+(Брони!$F$2:$F$500="Возвращена"))*(Брони!$D$2:$D$500&lt;=A724)*Брони!$D$2:$D$500))</f>
        <v/>
      </c>
      <c r="O724" s="19">
        <f>SUMPRODUCT((Брони!$B$2:$B$500=B724)*(Брони!$D$2:$D$500=N724)*((((Брони!$F$2:$F$500="Выдана")*NOW())+((Брони!$F$2:$F$500="Возвращена")*Брони!$E$2:$E$500))&gt;=A724)*Брони!$A$2:$A$500)</f>
        <v/>
      </c>
      <c r="P724" s="19">
        <f>SUMPRODUCT((Брони!$B$2:$B$500=B724)*(Брони!$D$2:$D$500=N724)*(((Брони!$F$2:$F$500="Выдана")+(Брони!$F$2:$F$500="Возвращена"))))</f>
        <v/>
      </c>
      <c r="Q724" s="10" t="n"/>
    </row>
    <row r="725">
      <c r="A725" s="11" t="n"/>
      <c r="B725" s="10" t="n"/>
      <c r="C725" s="10" t="n"/>
      <c r="D725" s="14" t="n"/>
      <c r="E725" s="10" t="n"/>
      <c r="F725" s="20">
        <f>IF(OR(A725="",B725=""),"",IF(OR(NOT(ISNUMBER(A725)),ISERROR(N725+O725+P725)),"Проверьте даты",IF(AND(N725&gt;0,P725&gt;1),"Дубль",IF(AND(N725&gt;0,O725&gt;0),O725,"Вне аренды"))))</f>
        <v/>
      </c>
      <c r="G725" s="12">
        <f>IF(ISNUMBER(F725),IFERROR(INDEX(Брони!$C$2:$C$500,MATCH(F725,Брони!$A$2:$A$500,0)),""),"")</f>
        <v/>
      </c>
      <c r="H725" s="10" t="n"/>
      <c r="I725" s="18" t="n"/>
      <c r="J725" s="12">
        <f>IF(AND(ISNUMBER(F725),I725&lt;&gt;""),IFERROR(IF(AND(INDEX(Брони!$F$2:$F$500,MATCH(F725,Брони!$A$2:$A$500,0))="Возвращена",I725&gt;INDEX(Брони!$E$2:$E$500,MATCH(F725,Брони!$A$2:$A$500,0))),"Да",""),""),"")</f>
        <v/>
      </c>
      <c r="K725" s="10" t="n"/>
      <c r="L725" s="14" t="n"/>
      <c r="M725" s="15">
        <f>IF(OR(A725="",B725=""),"",IF(AND(ISNUMBER(F725),H725&lt;&gt;"Компания"),D725+L725,0))</f>
        <v/>
      </c>
      <c r="N725" s="21">
        <f>SUMPRODUCT(MAX((Брони!$B$2:$B$500=B725)*((Брони!$F$2:$F$500="Выдана")+(Брони!$F$2:$F$500="Возвращена"))*(Брони!$D$2:$D$500&lt;=A725)*Брони!$D$2:$D$500))</f>
        <v/>
      </c>
      <c r="O725" s="19">
        <f>SUMPRODUCT((Брони!$B$2:$B$500=B725)*(Брони!$D$2:$D$500=N725)*((((Брони!$F$2:$F$500="Выдана")*NOW())+((Брони!$F$2:$F$500="Возвращена")*Брони!$E$2:$E$500))&gt;=A725)*Брони!$A$2:$A$500)</f>
        <v/>
      </c>
      <c r="P725" s="19">
        <f>SUMPRODUCT((Брони!$B$2:$B$500=B725)*(Брони!$D$2:$D$500=N725)*(((Брони!$F$2:$F$500="Выдана")+(Брони!$F$2:$F$500="Возвращена"))))</f>
        <v/>
      </c>
      <c r="Q725" s="10" t="n"/>
    </row>
    <row r="726">
      <c r="A726" s="11" t="n"/>
      <c r="B726" s="10" t="n"/>
      <c r="C726" s="10" t="n"/>
      <c r="D726" s="14" t="n"/>
      <c r="E726" s="10" t="n"/>
      <c r="F726" s="20">
        <f>IF(OR(A726="",B726=""),"",IF(OR(NOT(ISNUMBER(A726)),ISERROR(N726+O726+P726)),"Проверьте даты",IF(AND(N726&gt;0,P726&gt;1),"Дубль",IF(AND(N726&gt;0,O726&gt;0),O726,"Вне аренды"))))</f>
        <v/>
      </c>
      <c r="G726" s="12">
        <f>IF(ISNUMBER(F726),IFERROR(INDEX(Брони!$C$2:$C$500,MATCH(F726,Брони!$A$2:$A$500,0)),""),"")</f>
        <v/>
      </c>
      <c r="H726" s="10" t="n"/>
      <c r="I726" s="18" t="n"/>
      <c r="J726" s="12">
        <f>IF(AND(ISNUMBER(F726),I726&lt;&gt;""),IFERROR(IF(AND(INDEX(Брони!$F$2:$F$500,MATCH(F726,Брони!$A$2:$A$500,0))="Возвращена",I726&gt;INDEX(Брони!$E$2:$E$500,MATCH(F726,Брони!$A$2:$A$500,0))),"Да",""),""),"")</f>
        <v/>
      </c>
      <c r="K726" s="10" t="n"/>
      <c r="L726" s="14" t="n"/>
      <c r="M726" s="15">
        <f>IF(OR(A726="",B726=""),"",IF(AND(ISNUMBER(F726),H726&lt;&gt;"Компания"),D726+L726,0))</f>
        <v/>
      </c>
      <c r="N726" s="21">
        <f>SUMPRODUCT(MAX((Брони!$B$2:$B$500=B726)*((Брони!$F$2:$F$500="Выдана")+(Брони!$F$2:$F$500="Возвращена"))*(Брони!$D$2:$D$500&lt;=A726)*Брони!$D$2:$D$500))</f>
        <v/>
      </c>
      <c r="O726" s="19">
        <f>SUMPRODUCT((Брони!$B$2:$B$500=B726)*(Брони!$D$2:$D$500=N726)*((((Брони!$F$2:$F$500="Выдана")*NOW())+((Брони!$F$2:$F$500="Возвращена")*Брони!$E$2:$E$500))&gt;=A726)*Брони!$A$2:$A$500)</f>
        <v/>
      </c>
      <c r="P726" s="19">
        <f>SUMPRODUCT((Брони!$B$2:$B$500=B726)*(Брони!$D$2:$D$500=N726)*(((Брони!$F$2:$F$500="Выдана")+(Брони!$F$2:$F$500="Возвращена"))))</f>
        <v/>
      </c>
      <c r="Q726" s="10" t="n"/>
    </row>
    <row r="727">
      <c r="A727" s="11" t="n"/>
      <c r="B727" s="10" t="n"/>
      <c r="C727" s="10" t="n"/>
      <c r="D727" s="14" t="n"/>
      <c r="E727" s="10" t="n"/>
      <c r="F727" s="20">
        <f>IF(OR(A727="",B727=""),"",IF(OR(NOT(ISNUMBER(A727)),ISERROR(N727+O727+P727)),"Проверьте даты",IF(AND(N727&gt;0,P727&gt;1),"Дубль",IF(AND(N727&gt;0,O727&gt;0),O727,"Вне аренды"))))</f>
        <v/>
      </c>
      <c r="G727" s="12">
        <f>IF(ISNUMBER(F727),IFERROR(INDEX(Брони!$C$2:$C$500,MATCH(F727,Брони!$A$2:$A$500,0)),""),"")</f>
        <v/>
      </c>
      <c r="H727" s="10" t="n"/>
      <c r="I727" s="18" t="n"/>
      <c r="J727" s="12">
        <f>IF(AND(ISNUMBER(F727),I727&lt;&gt;""),IFERROR(IF(AND(INDEX(Брони!$F$2:$F$500,MATCH(F727,Брони!$A$2:$A$500,0))="Возвращена",I727&gt;INDEX(Брони!$E$2:$E$500,MATCH(F727,Брони!$A$2:$A$500,0))),"Да",""),""),"")</f>
        <v/>
      </c>
      <c r="K727" s="10" t="n"/>
      <c r="L727" s="14" t="n"/>
      <c r="M727" s="15">
        <f>IF(OR(A727="",B727=""),"",IF(AND(ISNUMBER(F727),H727&lt;&gt;"Компания"),D727+L727,0))</f>
        <v/>
      </c>
      <c r="N727" s="21">
        <f>SUMPRODUCT(MAX((Брони!$B$2:$B$500=B727)*((Брони!$F$2:$F$500="Выдана")+(Брони!$F$2:$F$500="Возвращена"))*(Брони!$D$2:$D$500&lt;=A727)*Брони!$D$2:$D$500))</f>
        <v/>
      </c>
      <c r="O727" s="19">
        <f>SUMPRODUCT((Брони!$B$2:$B$500=B727)*(Брони!$D$2:$D$500=N727)*((((Брони!$F$2:$F$500="Выдана")*NOW())+((Брони!$F$2:$F$500="Возвращена")*Брони!$E$2:$E$500))&gt;=A727)*Брони!$A$2:$A$500)</f>
        <v/>
      </c>
      <c r="P727" s="19">
        <f>SUMPRODUCT((Брони!$B$2:$B$500=B727)*(Брони!$D$2:$D$500=N727)*(((Брони!$F$2:$F$500="Выдана")+(Брони!$F$2:$F$500="Возвращена"))))</f>
        <v/>
      </c>
      <c r="Q727" s="10" t="n"/>
    </row>
    <row r="728">
      <c r="A728" s="11" t="n"/>
      <c r="B728" s="10" t="n"/>
      <c r="C728" s="10" t="n"/>
      <c r="D728" s="14" t="n"/>
      <c r="E728" s="10" t="n"/>
      <c r="F728" s="20">
        <f>IF(OR(A728="",B728=""),"",IF(OR(NOT(ISNUMBER(A728)),ISERROR(N728+O728+P728)),"Проверьте даты",IF(AND(N728&gt;0,P728&gt;1),"Дубль",IF(AND(N728&gt;0,O728&gt;0),O728,"Вне аренды"))))</f>
        <v/>
      </c>
      <c r="G728" s="12">
        <f>IF(ISNUMBER(F728),IFERROR(INDEX(Брони!$C$2:$C$500,MATCH(F728,Брони!$A$2:$A$500,0)),""),"")</f>
        <v/>
      </c>
      <c r="H728" s="10" t="n"/>
      <c r="I728" s="18" t="n"/>
      <c r="J728" s="12">
        <f>IF(AND(ISNUMBER(F728),I728&lt;&gt;""),IFERROR(IF(AND(INDEX(Брони!$F$2:$F$500,MATCH(F728,Брони!$A$2:$A$500,0))="Возвращена",I728&gt;INDEX(Брони!$E$2:$E$500,MATCH(F728,Брони!$A$2:$A$500,0))),"Да",""),""),"")</f>
        <v/>
      </c>
      <c r="K728" s="10" t="n"/>
      <c r="L728" s="14" t="n"/>
      <c r="M728" s="15">
        <f>IF(OR(A728="",B728=""),"",IF(AND(ISNUMBER(F728),H728&lt;&gt;"Компания"),D728+L728,0))</f>
        <v/>
      </c>
      <c r="N728" s="21">
        <f>SUMPRODUCT(MAX((Брони!$B$2:$B$500=B728)*((Брони!$F$2:$F$500="Выдана")+(Брони!$F$2:$F$500="Возвращена"))*(Брони!$D$2:$D$500&lt;=A728)*Брони!$D$2:$D$500))</f>
        <v/>
      </c>
      <c r="O728" s="19">
        <f>SUMPRODUCT((Брони!$B$2:$B$500=B728)*(Брони!$D$2:$D$500=N728)*((((Брони!$F$2:$F$500="Выдана")*NOW())+((Брони!$F$2:$F$500="Возвращена")*Брони!$E$2:$E$500))&gt;=A728)*Брони!$A$2:$A$500)</f>
        <v/>
      </c>
      <c r="P728" s="19">
        <f>SUMPRODUCT((Брони!$B$2:$B$500=B728)*(Брони!$D$2:$D$500=N728)*(((Брони!$F$2:$F$500="Выдана")+(Брони!$F$2:$F$500="Возвращена"))))</f>
        <v/>
      </c>
      <c r="Q728" s="10" t="n"/>
    </row>
    <row r="729">
      <c r="A729" s="11" t="n"/>
      <c r="B729" s="10" t="n"/>
      <c r="C729" s="10" t="n"/>
      <c r="D729" s="14" t="n"/>
      <c r="E729" s="10" t="n"/>
      <c r="F729" s="20">
        <f>IF(OR(A729="",B729=""),"",IF(OR(NOT(ISNUMBER(A729)),ISERROR(N729+O729+P729)),"Проверьте даты",IF(AND(N729&gt;0,P729&gt;1),"Дубль",IF(AND(N729&gt;0,O729&gt;0),O729,"Вне аренды"))))</f>
        <v/>
      </c>
      <c r="G729" s="12">
        <f>IF(ISNUMBER(F729),IFERROR(INDEX(Брони!$C$2:$C$500,MATCH(F729,Брони!$A$2:$A$500,0)),""),"")</f>
        <v/>
      </c>
      <c r="H729" s="10" t="n"/>
      <c r="I729" s="18" t="n"/>
      <c r="J729" s="12">
        <f>IF(AND(ISNUMBER(F729),I729&lt;&gt;""),IFERROR(IF(AND(INDEX(Брони!$F$2:$F$500,MATCH(F729,Брони!$A$2:$A$500,0))="Возвращена",I729&gt;INDEX(Брони!$E$2:$E$500,MATCH(F729,Брони!$A$2:$A$500,0))),"Да",""),""),"")</f>
        <v/>
      </c>
      <c r="K729" s="10" t="n"/>
      <c r="L729" s="14" t="n"/>
      <c r="M729" s="15">
        <f>IF(OR(A729="",B729=""),"",IF(AND(ISNUMBER(F729),H729&lt;&gt;"Компания"),D729+L729,0))</f>
        <v/>
      </c>
      <c r="N729" s="21">
        <f>SUMPRODUCT(MAX((Брони!$B$2:$B$500=B729)*((Брони!$F$2:$F$500="Выдана")+(Брони!$F$2:$F$500="Возвращена"))*(Брони!$D$2:$D$500&lt;=A729)*Брони!$D$2:$D$500))</f>
        <v/>
      </c>
      <c r="O729" s="19">
        <f>SUMPRODUCT((Брони!$B$2:$B$500=B729)*(Брони!$D$2:$D$500=N729)*((((Брони!$F$2:$F$500="Выдана")*NOW())+((Брони!$F$2:$F$500="Возвращена")*Брони!$E$2:$E$500))&gt;=A729)*Брони!$A$2:$A$500)</f>
        <v/>
      </c>
      <c r="P729" s="19">
        <f>SUMPRODUCT((Брони!$B$2:$B$500=B729)*(Брони!$D$2:$D$500=N729)*(((Брони!$F$2:$F$500="Выдана")+(Брони!$F$2:$F$500="Возвращена"))))</f>
        <v/>
      </c>
      <c r="Q729" s="10" t="n"/>
    </row>
    <row r="730">
      <c r="A730" s="11" t="n"/>
      <c r="B730" s="10" t="n"/>
      <c r="C730" s="10" t="n"/>
      <c r="D730" s="14" t="n"/>
      <c r="E730" s="10" t="n"/>
      <c r="F730" s="20">
        <f>IF(OR(A730="",B730=""),"",IF(OR(NOT(ISNUMBER(A730)),ISERROR(N730+O730+P730)),"Проверьте даты",IF(AND(N730&gt;0,P730&gt;1),"Дубль",IF(AND(N730&gt;0,O730&gt;0),O730,"Вне аренды"))))</f>
        <v/>
      </c>
      <c r="G730" s="12">
        <f>IF(ISNUMBER(F730),IFERROR(INDEX(Брони!$C$2:$C$500,MATCH(F730,Брони!$A$2:$A$500,0)),""),"")</f>
        <v/>
      </c>
      <c r="H730" s="10" t="n"/>
      <c r="I730" s="18" t="n"/>
      <c r="J730" s="12">
        <f>IF(AND(ISNUMBER(F730),I730&lt;&gt;""),IFERROR(IF(AND(INDEX(Брони!$F$2:$F$500,MATCH(F730,Брони!$A$2:$A$500,0))="Возвращена",I730&gt;INDEX(Брони!$E$2:$E$500,MATCH(F730,Брони!$A$2:$A$500,0))),"Да",""),""),"")</f>
        <v/>
      </c>
      <c r="K730" s="10" t="n"/>
      <c r="L730" s="14" t="n"/>
      <c r="M730" s="15">
        <f>IF(OR(A730="",B730=""),"",IF(AND(ISNUMBER(F730),H730&lt;&gt;"Компания"),D730+L730,0))</f>
        <v/>
      </c>
      <c r="N730" s="21">
        <f>SUMPRODUCT(MAX((Брони!$B$2:$B$500=B730)*((Брони!$F$2:$F$500="Выдана")+(Брони!$F$2:$F$500="Возвращена"))*(Брони!$D$2:$D$500&lt;=A730)*Брони!$D$2:$D$500))</f>
        <v/>
      </c>
      <c r="O730" s="19">
        <f>SUMPRODUCT((Брони!$B$2:$B$500=B730)*(Брони!$D$2:$D$500=N730)*((((Брони!$F$2:$F$500="Выдана")*NOW())+((Брони!$F$2:$F$500="Возвращена")*Брони!$E$2:$E$500))&gt;=A730)*Брони!$A$2:$A$500)</f>
        <v/>
      </c>
      <c r="P730" s="19">
        <f>SUMPRODUCT((Брони!$B$2:$B$500=B730)*(Брони!$D$2:$D$500=N730)*(((Брони!$F$2:$F$500="Выдана")+(Брони!$F$2:$F$500="Возвращена"))))</f>
        <v/>
      </c>
      <c r="Q730" s="10" t="n"/>
    </row>
    <row r="731">
      <c r="A731" s="11" t="n"/>
      <c r="B731" s="10" t="n"/>
      <c r="C731" s="10" t="n"/>
      <c r="D731" s="14" t="n"/>
      <c r="E731" s="10" t="n"/>
      <c r="F731" s="20">
        <f>IF(OR(A731="",B731=""),"",IF(OR(NOT(ISNUMBER(A731)),ISERROR(N731+O731+P731)),"Проверьте даты",IF(AND(N731&gt;0,P731&gt;1),"Дубль",IF(AND(N731&gt;0,O731&gt;0),O731,"Вне аренды"))))</f>
        <v/>
      </c>
      <c r="G731" s="12">
        <f>IF(ISNUMBER(F731),IFERROR(INDEX(Брони!$C$2:$C$500,MATCH(F731,Брони!$A$2:$A$500,0)),""),"")</f>
        <v/>
      </c>
      <c r="H731" s="10" t="n"/>
      <c r="I731" s="18" t="n"/>
      <c r="J731" s="12">
        <f>IF(AND(ISNUMBER(F731),I731&lt;&gt;""),IFERROR(IF(AND(INDEX(Брони!$F$2:$F$500,MATCH(F731,Брони!$A$2:$A$500,0))="Возвращена",I731&gt;INDEX(Брони!$E$2:$E$500,MATCH(F731,Брони!$A$2:$A$500,0))),"Да",""),""),"")</f>
        <v/>
      </c>
      <c r="K731" s="10" t="n"/>
      <c r="L731" s="14" t="n"/>
      <c r="M731" s="15">
        <f>IF(OR(A731="",B731=""),"",IF(AND(ISNUMBER(F731),H731&lt;&gt;"Компания"),D731+L731,0))</f>
        <v/>
      </c>
      <c r="N731" s="21">
        <f>SUMPRODUCT(MAX((Брони!$B$2:$B$500=B731)*((Брони!$F$2:$F$500="Выдана")+(Брони!$F$2:$F$500="Возвращена"))*(Брони!$D$2:$D$500&lt;=A731)*Брони!$D$2:$D$500))</f>
        <v/>
      </c>
      <c r="O731" s="19">
        <f>SUMPRODUCT((Брони!$B$2:$B$500=B731)*(Брони!$D$2:$D$500=N731)*((((Брони!$F$2:$F$500="Выдана")*NOW())+((Брони!$F$2:$F$500="Возвращена")*Брони!$E$2:$E$500))&gt;=A731)*Брони!$A$2:$A$500)</f>
        <v/>
      </c>
      <c r="P731" s="19">
        <f>SUMPRODUCT((Брони!$B$2:$B$500=B731)*(Брони!$D$2:$D$500=N731)*(((Брони!$F$2:$F$500="Выдана")+(Брони!$F$2:$F$500="Возвращена"))))</f>
        <v/>
      </c>
      <c r="Q731" s="10" t="n"/>
    </row>
    <row r="732">
      <c r="A732" s="11" t="n"/>
      <c r="B732" s="10" t="n"/>
      <c r="C732" s="10" t="n"/>
      <c r="D732" s="14" t="n"/>
      <c r="E732" s="10" t="n"/>
      <c r="F732" s="20">
        <f>IF(OR(A732="",B732=""),"",IF(OR(NOT(ISNUMBER(A732)),ISERROR(N732+O732+P732)),"Проверьте даты",IF(AND(N732&gt;0,P732&gt;1),"Дубль",IF(AND(N732&gt;0,O732&gt;0),O732,"Вне аренды"))))</f>
        <v/>
      </c>
      <c r="G732" s="12">
        <f>IF(ISNUMBER(F732),IFERROR(INDEX(Брони!$C$2:$C$500,MATCH(F732,Брони!$A$2:$A$500,0)),""),"")</f>
        <v/>
      </c>
      <c r="H732" s="10" t="n"/>
      <c r="I732" s="18" t="n"/>
      <c r="J732" s="12">
        <f>IF(AND(ISNUMBER(F732),I732&lt;&gt;""),IFERROR(IF(AND(INDEX(Брони!$F$2:$F$500,MATCH(F732,Брони!$A$2:$A$500,0))="Возвращена",I732&gt;INDEX(Брони!$E$2:$E$500,MATCH(F732,Брони!$A$2:$A$500,0))),"Да",""),""),"")</f>
        <v/>
      </c>
      <c r="K732" s="10" t="n"/>
      <c r="L732" s="14" t="n"/>
      <c r="M732" s="15">
        <f>IF(OR(A732="",B732=""),"",IF(AND(ISNUMBER(F732),H732&lt;&gt;"Компания"),D732+L732,0))</f>
        <v/>
      </c>
      <c r="N732" s="21">
        <f>SUMPRODUCT(MAX((Брони!$B$2:$B$500=B732)*((Брони!$F$2:$F$500="Выдана")+(Брони!$F$2:$F$500="Возвращена"))*(Брони!$D$2:$D$500&lt;=A732)*Брони!$D$2:$D$500))</f>
        <v/>
      </c>
      <c r="O732" s="19">
        <f>SUMPRODUCT((Брони!$B$2:$B$500=B732)*(Брони!$D$2:$D$500=N732)*((((Брони!$F$2:$F$500="Выдана")*NOW())+((Брони!$F$2:$F$500="Возвращена")*Брони!$E$2:$E$500))&gt;=A732)*Брони!$A$2:$A$500)</f>
        <v/>
      </c>
      <c r="P732" s="19">
        <f>SUMPRODUCT((Брони!$B$2:$B$500=B732)*(Брони!$D$2:$D$500=N732)*(((Брони!$F$2:$F$500="Выдана")+(Брони!$F$2:$F$500="Возвращена"))))</f>
        <v/>
      </c>
      <c r="Q732" s="10" t="n"/>
    </row>
    <row r="733">
      <c r="A733" s="11" t="n"/>
      <c r="B733" s="10" t="n"/>
      <c r="C733" s="10" t="n"/>
      <c r="D733" s="14" t="n"/>
      <c r="E733" s="10" t="n"/>
      <c r="F733" s="20">
        <f>IF(OR(A733="",B733=""),"",IF(OR(NOT(ISNUMBER(A733)),ISERROR(N733+O733+P733)),"Проверьте даты",IF(AND(N733&gt;0,P733&gt;1),"Дубль",IF(AND(N733&gt;0,O733&gt;0),O733,"Вне аренды"))))</f>
        <v/>
      </c>
      <c r="G733" s="12">
        <f>IF(ISNUMBER(F733),IFERROR(INDEX(Брони!$C$2:$C$500,MATCH(F733,Брони!$A$2:$A$500,0)),""),"")</f>
        <v/>
      </c>
      <c r="H733" s="10" t="n"/>
      <c r="I733" s="18" t="n"/>
      <c r="J733" s="12">
        <f>IF(AND(ISNUMBER(F733),I733&lt;&gt;""),IFERROR(IF(AND(INDEX(Брони!$F$2:$F$500,MATCH(F733,Брони!$A$2:$A$500,0))="Возвращена",I733&gt;INDEX(Брони!$E$2:$E$500,MATCH(F733,Брони!$A$2:$A$500,0))),"Да",""),""),"")</f>
        <v/>
      </c>
      <c r="K733" s="10" t="n"/>
      <c r="L733" s="14" t="n"/>
      <c r="M733" s="15">
        <f>IF(OR(A733="",B733=""),"",IF(AND(ISNUMBER(F733),H733&lt;&gt;"Компания"),D733+L733,0))</f>
        <v/>
      </c>
      <c r="N733" s="21">
        <f>SUMPRODUCT(MAX((Брони!$B$2:$B$500=B733)*((Брони!$F$2:$F$500="Выдана")+(Брони!$F$2:$F$500="Возвращена"))*(Брони!$D$2:$D$500&lt;=A733)*Брони!$D$2:$D$500))</f>
        <v/>
      </c>
      <c r="O733" s="19">
        <f>SUMPRODUCT((Брони!$B$2:$B$500=B733)*(Брони!$D$2:$D$500=N733)*((((Брони!$F$2:$F$500="Выдана")*NOW())+((Брони!$F$2:$F$500="Возвращена")*Брони!$E$2:$E$500))&gt;=A733)*Брони!$A$2:$A$500)</f>
        <v/>
      </c>
      <c r="P733" s="19">
        <f>SUMPRODUCT((Брони!$B$2:$B$500=B733)*(Брони!$D$2:$D$500=N733)*(((Брони!$F$2:$F$500="Выдана")+(Брони!$F$2:$F$500="Возвращена"))))</f>
        <v/>
      </c>
      <c r="Q733" s="10" t="n"/>
    </row>
    <row r="734">
      <c r="A734" s="11" t="n"/>
      <c r="B734" s="10" t="n"/>
      <c r="C734" s="10" t="n"/>
      <c r="D734" s="14" t="n"/>
      <c r="E734" s="10" t="n"/>
      <c r="F734" s="20">
        <f>IF(OR(A734="",B734=""),"",IF(OR(NOT(ISNUMBER(A734)),ISERROR(N734+O734+P734)),"Проверьте даты",IF(AND(N734&gt;0,P734&gt;1),"Дубль",IF(AND(N734&gt;0,O734&gt;0),O734,"Вне аренды"))))</f>
        <v/>
      </c>
      <c r="G734" s="12">
        <f>IF(ISNUMBER(F734),IFERROR(INDEX(Брони!$C$2:$C$500,MATCH(F734,Брони!$A$2:$A$500,0)),""),"")</f>
        <v/>
      </c>
      <c r="H734" s="10" t="n"/>
      <c r="I734" s="18" t="n"/>
      <c r="J734" s="12">
        <f>IF(AND(ISNUMBER(F734),I734&lt;&gt;""),IFERROR(IF(AND(INDEX(Брони!$F$2:$F$500,MATCH(F734,Брони!$A$2:$A$500,0))="Возвращена",I734&gt;INDEX(Брони!$E$2:$E$500,MATCH(F734,Брони!$A$2:$A$500,0))),"Да",""),""),"")</f>
        <v/>
      </c>
      <c r="K734" s="10" t="n"/>
      <c r="L734" s="14" t="n"/>
      <c r="M734" s="15">
        <f>IF(OR(A734="",B734=""),"",IF(AND(ISNUMBER(F734),H734&lt;&gt;"Компания"),D734+L734,0))</f>
        <v/>
      </c>
      <c r="N734" s="21">
        <f>SUMPRODUCT(MAX((Брони!$B$2:$B$500=B734)*((Брони!$F$2:$F$500="Выдана")+(Брони!$F$2:$F$500="Возвращена"))*(Брони!$D$2:$D$500&lt;=A734)*Брони!$D$2:$D$500))</f>
        <v/>
      </c>
      <c r="O734" s="19">
        <f>SUMPRODUCT((Брони!$B$2:$B$500=B734)*(Брони!$D$2:$D$500=N734)*((((Брони!$F$2:$F$500="Выдана")*NOW())+((Брони!$F$2:$F$500="Возвращена")*Брони!$E$2:$E$500))&gt;=A734)*Брони!$A$2:$A$500)</f>
        <v/>
      </c>
      <c r="P734" s="19">
        <f>SUMPRODUCT((Брони!$B$2:$B$500=B734)*(Брони!$D$2:$D$500=N734)*(((Брони!$F$2:$F$500="Выдана")+(Брони!$F$2:$F$500="Возвращена"))))</f>
        <v/>
      </c>
      <c r="Q734" s="10" t="n"/>
    </row>
    <row r="735">
      <c r="A735" s="11" t="n"/>
      <c r="B735" s="10" t="n"/>
      <c r="C735" s="10" t="n"/>
      <c r="D735" s="14" t="n"/>
      <c r="E735" s="10" t="n"/>
      <c r="F735" s="20">
        <f>IF(OR(A735="",B735=""),"",IF(OR(NOT(ISNUMBER(A735)),ISERROR(N735+O735+P735)),"Проверьте даты",IF(AND(N735&gt;0,P735&gt;1),"Дубль",IF(AND(N735&gt;0,O735&gt;0),O735,"Вне аренды"))))</f>
        <v/>
      </c>
      <c r="G735" s="12">
        <f>IF(ISNUMBER(F735),IFERROR(INDEX(Брони!$C$2:$C$500,MATCH(F735,Брони!$A$2:$A$500,0)),""),"")</f>
        <v/>
      </c>
      <c r="H735" s="10" t="n"/>
      <c r="I735" s="18" t="n"/>
      <c r="J735" s="12">
        <f>IF(AND(ISNUMBER(F735),I735&lt;&gt;""),IFERROR(IF(AND(INDEX(Брони!$F$2:$F$500,MATCH(F735,Брони!$A$2:$A$500,0))="Возвращена",I735&gt;INDEX(Брони!$E$2:$E$500,MATCH(F735,Брони!$A$2:$A$500,0))),"Да",""),""),"")</f>
        <v/>
      </c>
      <c r="K735" s="10" t="n"/>
      <c r="L735" s="14" t="n"/>
      <c r="M735" s="15">
        <f>IF(OR(A735="",B735=""),"",IF(AND(ISNUMBER(F735),H735&lt;&gt;"Компания"),D735+L735,0))</f>
        <v/>
      </c>
      <c r="N735" s="21">
        <f>SUMPRODUCT(MAX((Брони!$B$2:$B$500=B735)*((Брони!$F$2:$F$500="Выдана")+(Брони!$F$2:$F$500="Возвращена"))*(Брони!$D$2:$D$500&lt;=A735)*Брони!$D$2:$D$500))</f>
        <v/>
      </c>
      <c r="O735" s="19">
        <f>SUMPRODUCT((Брони!$B$2:$B$500=B735)*(Брони!$D$2:$D$500=N735)*((((Брони!$F$2:$F$500="Выдана")*NOW())+((Брони!$F$2:$F$500="Возвращена")*Брони!$E$2:$E$500))&gt;=A735)*Брони!$A$2:$A$500)</f>
        <v/>
      </c>
      <c r="P735" s="19">
        <f>SUMPRODUCT((Брони!$B$2:$B$500=B735)*(Брони!$D$2:$D$500=N735)*(((Брони!$F$2:$F$500="Выдана")+(Брони!$F$2:$F$500="Возвращена"))))</f>
        <v/>
      </c>
      <c r="Q735" s="10" t="n"/>
    </row>
    <row r="736">
      <c r="A736" s="11" t="n"/>
      <c r="B736" s="10" t="n"/>
      <c r="C736" s="10" t="n"/>
      <c r="D736" s="14" t="n"/>
      <c r="E736" s="10" t="n"/>
      <c r="F736" s="20">
        <f>IF(OR(A736="",B736=""),"",IF(OR(NOT(ISNUMBER(A736)),ISERROR(N736+O736+P736)),"Проверьте даты",IF(AND(N736&gt;0,P736&gt;1),"Дубль",IF(AND(N736&gt;0,O736&gt;0),O736,"Вне аренды"))))</f>
        <v/>
      </c>
      <c r="G736" s="12">
        <f>IF(ISNUMBER(F736),IFERROR(INDEX(Брони!$C$2:$C$500,MATCH(F736,Брони!$A$2:$A$500,0)),""),"")</f>
        <v/>
      </c>
      <c r="H736" s="10" t="n"/>
      <c r="I736" s="18" t="n"/>
      <c r="J736" s="12">
        <f>IF(AND(ISNUMBER(F736),I736&lt;&gt;""),IFERROR(IF(AND(INDEX(Брони!$F$2:$F$500,MATCH(F736,Брони!$A$2:$A$500,0))="Возвращена",I736&gt;INDEX(Брони!$E$2:$E$500,MATCH(F736,Брони!$A$2:$A$500,0))),"Да",""),""),"")</f>
        <v/>
      </c>
      <c r="K736" s="10" t="n"/>
      <c r="L736" s="14" t="n"/>
      <c r="M736" s="15">
        <f>IF(OR(A736="",B736=""),"",IF(AND(ISNUMBER(F736),H736&lt;&gt;"Компания"),D736+L736,0))</f>
        <v/>
      </c>
      <c r="N736" s="21">
        <f>SUMPRODUCT(MAX((Брони!$B$2:$B$500=B736)*((Брони!$F$2:$F$500="Выдана")+(Брони!$F$2:$F$500="Возвращена"))*(Брони!$D$2:$D$500&lt;=A736)*Брони!$D$2:$D$500))</f>
        <v/>
      </c>
      <c r="O736" s="19">
        <f>SUMPRODUCT((Брони!$B$2:$B$500=B736)*(Брони!$D$2:$D$500=N736)*((((Брони!$F$2:$F$500="Выдана")*NOW())+((Брони!$F$2:$F$500="Возвращена")*Брони!$E$2:$E$500))&gt;=A736)*Брони!$A$2:$A$500)</f>
        <v/>
      </c>
      <c r="P736" s="19">
        <f>SUMPRODUCT((Брони!$B$2:$B$500=B736)*(Брони!$D$2:$D$500=N736)*(((Брони!$F$2:$F$500="Выдана")+(Брони!$F$2:$F$500="Возвращена"))))</f>
        <v/>
      </c>
      <c r="Q736" s="10" t="n"/>
    </row>
    <row r="737">
      <c r="A737" s="11" t="n"/>
      <c r="B737" s="10" t="n"/>
      <c r="C737" s="10" t="n"/>
      <c r="D737" s="14" t="n"/>
      <c r="E737" s="10" t="n"/>
      <c r="F737" s="20">
        <f>IF(OR(A737="",B737=""),"",IF(OR(NOT(ISNUMBER(A737)),ISERROR(N737+O737+P737)),"Проверьте даты",IF(AND(N737&gt;0,P737&gt;1),"Дубль",IF(AND(N737&gt;0,O737&gt;0),O737,"Вне аренды"))))</f>
        <v/>
      </c>
      <c r="G737" s="12">
        <f>IF(ISNUMBER(F737),IFERROR(INDEX(Брони!$C$2:$C$500,MATCH(F737,Брони!$A$2:$A$500,0)),""),"")</f>
        <v/>
      </c>
      <c r="H737" s="10" t="n"/>
      <c r="I737" s="18" t="n"/>
      <c r="J737" s="12">
        <f>IF(AND(ISNUMBER(F737),I737&lt;&gt;""),IFERROR(IF(AND(INDEX(Брони!$F$2:$F$500,MATCH(F737,Брони!$A$2:$A$500,0))="Возвращена",I737&gt;INDEX(Брони!$E$2:$E$500,MATCH(F737,Брони!$A$2:$A$500,0))),"Да",""),""),"")</f>
        <v/>
      </c>
      <c r="K737" s="10" t="n"/>
      <c r="L737" s="14" t="n"/>
      <c r="M737" s="15">
        <f>IF(OR(A737="",B737=""),"",IF(AND(ISNUMBER(F737),H737&lt;&gt;"Компания"),D737+L737,0))</f>
        <v/>
      </c>
      <c r="N737" s="21">
        <f>SUMPRODUCT(MAX((Брони!$B$2:$B$500=B737)*((Брони!$F$2:$F$500="Выдана")+(Брони!$F$2:$F$500="Возвращена"))*(Брони!$D$2:$D$500&lt;=A737)*Брони!$D$2:$D$500))</f>
        <v/>
      </c>
      <c r="O737" s="19">
        <f>SUMPRODUCT((Брони!$B$2:$B$500=B737)*(Брони!$D$2:$D$500=N737)*((((Брони!$F$2:$F$500="Выдана")*NOW())+((Брони!$F$2:$F$500="Возвращена")*Брони!$E$2:$E$500))&gt;=A737)*Брони!$A$2:$A$500)</f>
        <v/>
      </c>
      <c r="P737" s="19">
        <f>SUMPRODUCT((Брони!$B$2:$B$500=B737)*(Брони!$D$2:$D$500=N737)*(((Брони!$F$2:$F$500="Выдана")+(Брони!$F$2:$F$500="Возвращена"))))</f>
        <v/>
      </c>
      <c r="Q737" s="10" t="n"/>
    </row>
    <row r="738">
      <c r="A738" s="11" t="n"/>
      <c r="B738" s="10" t="n"/>
      <c r="C738" s="10" t="n"/>
      <c r="D738" s="14" t="n"/>
      <c r="E738" s="10" t="n"/>
      <c r="F738" s="20">
        <f>IF(OR(A738="",B738=""),"",IF(OR(NOT(ISNUMBER(A738)),ISERROR(N738+O738+P738)),"Проверьте даты",IF(AND(N738&gt;0,P738&gt;1),"Дубль",IF(AND(N738&gt;0,O738&gt;0),O738,"Вне аренды"))))</f>
        <v/>
      </c>
      <c r="G738" s="12">
        <f>IF(ISNUMBER(F738),IFERROR(INDEX(Брони!$C$2:$C$500,MATCH(F738,Брони!$A$2:$A$500,0)),""),"")</f>
        <v/>
      </c>
      <c r="H738" s="10" t="n"/>
      <c r="I738" s="18" t="n"/>
      <c r="J738" s="12">
        <f>IF(AND(ISNUMBER(F738),I738&lt;&gt;""),IFERROR(IF(AND(INDEX(Брони!$F$2:$F$500,MATCH(F738,Брони!$A$2:$A$500,0))="Возвращена",I738&gt;INDEX(Брони!$E$2:$E$500,MATCH(F738,Брони!$A$2:$A$500,0))),"Да",""),""),"")</f>
        <v/>
      </c>
      <c r="K738" s="10" t="n"/>
      <c r="L738" s="14" t="n"/>
      <c r="M738" s="15">
        <f>IF(OR(A738="",B738=""),"",IF(AND(ISNUMBER(F738),H738&lt;&gt;"Компания"),D738+L738,0))</f>
        <v/>
      </c>
      <c r="N738" s="21">
        <f>SUMPRODUCT(MAX((Брони!$B$2:$B$500=B738)*((Брони!$F$2:$F$500="Выдана")+(Брони!$F$2:$F$500="Возвращена"))*(Брони!$D$2:$D$500&lt;=A738)*Брони!$D$2:$D$500))</f>
        <v/>
      </c>
      <c r="O738" s="19">
        <f>SUMPRODUCT((Брони!$B$2:$B$500=B738)*(Брони!$D$2:$D$500=N738)*((((Брони!$F$2:$F$500="Выдана")*NOW())+((Брони!$F$2:$F$500="Возвращена")*Брони!$E$2:$E$500))&gt;=A738)*Брони!$A$2:$A$500)</f>
        <v/>
      </c>
      <c r="P738" s="19">
        <f>SUMPRODUCT((Брони!$B$2:$B$500=B738)*(Брони!$D$2:$D$500=N738)*(((Брони!$F$2:$F$500="Выдана")+(Брони!$F$2:$F$500="Возвращена"))))</f>
        <v/>
      </c>
      <c r="Q738" s="10" t="n"/>
    </row>
    <row r="739">
      <c r="A739" s="11" t="n"/>
      <c r="B739" s="10" t="n"/>
      <c r="C739" s="10" t="n"/>
      <c r="D739" s="14" t="n"/>
      <c r="E739" s="10" t="n"/>
      <c r="F739" s="20">
        <f>IF(OR(A739="",B739=""),"",IF(OR(NOT(ISNUMBER(A739)),ISERROR(N739+O739+P739)),"Проверьте даты",IF(AND(N739&gt;0,P739&gt;1),"Дубль",IF(AND(N739&gt;0,O739&gt;0),O739,"Вне аренды"))))</f>
        <v/>
      </c>
      <c r="G739" s="12">
        <f>IF(ISNUMBER(F739),IFERROR(INDEX(Брони!$C$2:$C$500,MATCH(F739,Брони!$A$2:$A$500,0)),""),"")</f>
        <v/>
      </c>
      <c r="H739" s="10" t="n"/>
      <c r="I739" s="18" t="n"/>
      <c r="J739" s="12">
        <f>IF(AND(ISNUMBER(F739),I739&lt;&gt;""),IFERROR(IF(AND(INDEX(Брони!$F$2:$F$500,MATCH(F739,Брони!$A$2:$A$500,0))="Возвращена",I739&gt;INDEX(Брони!$E$2:$E$500,MATCH(F739,Брони!$A$2:$A$500,0))),"Да",""),""),"")</f>
        <v/>
      </c>
      <c r="K739" s="10" t="n"/>
      <c r="L739" s="14" t="n"/>
      <c r="M739" s="15">
        <f>IF(OR(A739="",B739=""),"",IF(AND(ISNUMBER(F739),H739&lt;&gt;"Компания"),D739+L739,0))</f>
        <v/>
      </c>
      <c r="N739" s="21">
        <f>SUMPRODUCT(MAX((Брони!$B$2:$B$500=B739)*((Брони!$F$2:$F$500="Выдана")+(Брони!$F$2:$F$500="Возвращена"))*(Брони!$D$2:$D$500&lt;=A739)*Брони!$D$2:$D$500))</f>
        <v/>
      </c>
      <c r="O739" s="19">
        <f>SUMPRODUCT((Брони!$B$2:$B$500=B739)*(Брони!$D$2:$D$500=N739)*((((Брони!$F$2:$F$500="Выдана")*NOW())+((Брони!$F$2:$F$500="Возвращена")*Брони!$E$2:$E$500))&gt;=A739)*Брони!$A$2:$A$500)</f>
        <v/>
      </c>
      <c r="P739" s="19">
        <f>SUMPRODUCT((Брони!$B$2:$B$500=B739)*(Брони!$D$2:$D$500=N739)*(((Брони!$F$2:$F$500="Выдана")+(Брони!$F$2:$F$500="Возвращена"))))</f>
        <v/>
      </c>
      <c r="Q739" s="10" t="n"/>
    </row>
    <row r="740">
      <c r="A740" s="11" t="n"/>
      <c r="B740" s="10" t="n"/>
      <c r="C740" s="10" t="n"/>
      <c r="D740" s="14" t="n"/>
      <c r="E740" s="10" t="n"/>
      <c r="F740" s="20">
        <f>IF(OR(A740="",B740=""),"",IF(OR(NOT(ISNUMBER(A740)),ISERROR(N740+O740+P740)),"Проверьте даты",IF(AND(N740&gt;0,P740&gt;1),"Дубль",IF(AND(N740&gt;0,O740&gt;0),O740,"Вне аренды"))))</f>
        <v/>
      </c>
      <c r="G740" s="12">
        <f>IF(ISNUMBER(F740),IFERROR(INDEX(Брони!$C$2:$C$500,MATCH(F740,Брони!$A$2:$A$500,0)),""),"")</f>
        <v/>
      </c>
      <c r="H740" s="10" t="n"/>
      <c r="I740" s="18" t="n"/>
      <c r="J740" s="12">
        <f>IF(AND(ISNUMBER(F740),I740&lt;&gt;""),IFERROR(IF(AND(INDEX(Брони!$F$2:$F$500,MATCH(F740,Брони!$A$2:$A$500,0))="Возвращена",I740&gt;INDEX(Брони!$E$2:$E$500,MATCH(F740,Брони!$A$2:$A$500,0))),"Да",""),""),"")</f>
        <v/>
      </c>
      <c r="K740" s="10" t="n"/>
      <c r="L740" s="14" t="n"/>
      <c r="M740" s="15">
        <f>IF(OR(A740="",B740=""),"",IF(AND(ISNUMBER(F740),H740&lt;&gt;"Компания"),D740+L740,0))</f>
        <v/>
      </c>
      <c r="N740" s="21">
        <f>SUMPRODUCT(MAX((Брони!$B$2:$B$500=B740)*((Брони!$F$2:$F$500="Выдана")+(Брони!$F$2:$F$500="Возвращена"))*(Брони!$D$2:$D$500&lt;=A740)*Брони!$D$2:$D$500))</f>
        <v/>
      </c>
      <c r="O740" s="19">
        <f>SUMPRODUCT((Брони!$B$2:$B$500=B740)*(Брони!$D$2:$D$500=N740)*((((Брони!$F$2:$F$500="Выдана")*NOW())+((Брони!$F$2:$F$500="Возвращена")*Брони!$E$2:$E$500))&gt;=A740)*Брони!$A$2:$A$500)</f>
        <v/>
      </c>
      <c r="P740" s="19">
        <f>SUMPRODUCT((Брони!$B$2:$B$500=B740)*(Брони!$D$2:$D$500=N740)*(((Брони!$F$2:$F$500="Выдана")+(Брони!$F$2:$F$500="Возвращена"))))</f>
        <v/>
      </c>
      <c r="Q740" s="10" t="n"/>
    </row>
    <row r="741">
      <c r="A741" s="11" t="n"/>
      <c r="B741" s="10" t="n"/>
      <c r="C741" s="10" t="n"/>
      <c r="D741" s="14" t="n"/>
      <c r="E741" s="10" t="n"/>
      <c r="F741" s="20">
        <f>IF(OR(A741="",B741=""),"",IF(OR(NOT(ISNUMBER(A741)),ISERROR(N741+O741+P741)),"Проверьте даты",IF(AND(N741&gt;0,P741&gt;1),"Дубль",IF(AND(N741&gt;0,O741&gt;0),O741,"Вне аренды"))))</f>
        <v/>
      </c>
      <c r="G741" s="12">
        <f>IF(ISNUMBER(F741),IFERROR(INDEX(Брони!$C$2:$C$500,MATCH(F741,Брони!$A$2:$A$500,0)),""),"")</f>
        <v/>
      </c>
      <c r="H741" s="10" t="n"/>
      <c r="I741" s="18" t="n"/>
      <c r="J741" s="12">
        <f>IF(AND(ISNUMBER(F741),I741&lt;&gt;""),IFERROR(IF(AND(INDEX(Брони!$F$2:$F$500,MATCH(F741,Брони!$A$2:$A$500,0))="Возвращена",I741&gt;INDEX(Брони!$E$2:$E$500,MATCH(F741,Брони!$A$2:$A$500,0))),"Да",""),""),"")</f>
        <v/>
      </c>
      <c r="K741" s="10" t="n"/>
      <c r="L741" s="14" t="n"/>
      <c r="M741" s="15">
        <f>IF(OR(A741="",B741=""),"",IF(AND(ISNUMBER(F741),H741&lt;&gt;"Компания"),D741+L741,0))</f>
        <v/>
      </c>
      <c r="N741" s="21">
        <f>SUMPRODUCT(MAX((Брони!$B$2:$B$500=B741)*((Брони!$F$2:$F$500="Выдана")+(Брони!$F$2:$F$500="Возвращена"))*(Брони!$D$2:$D$500&lt;=A741)*Брони!$D$2:$D$500))</f>
        <v/>
      </c>
      <c r="O741" s="19">
        <f>SUMPRODUCT((Брони!$B$2:$B$500=B741)*(Брони!$D$2:$D$500=N741)*((((Брони!$F$2:$F$500="Выдана")*NOW())+((Брони!$F$2:$F$500="Возвращена")*Брони!$E$2:$E$500))&gt;=A741)*Брони!$A$2:$A$500)</f>
        <v/>
      </c>
      <c r="P741" s="19">
        <f>SUMPRODUCT((Брони!$B$2:$B$500=B741)*(Брони!$D$2:$D$500=N741)*(((Брони!$F$2:$F$500="Выдана")+(Брони!$F$2:$F$500="Возвращена"))))</f>
        <v/>
      </c>
      <c r="Q741" s="10" t="n"/>
    </row>
    <row r="742">
      <c r="A742" s="11" t="n"/>
      <c r="B742" s="10" t="n"/>
      <c r="C742" s="10" t="n"/>
      <c r="D742" s="14" t="n"/>
      <c r="E742" s="10" t="n"/>
      <c r="F742" s="20">
        <f>IF(OR(A742="",B742=""),"",IF(OR(NOT(ISNUMBER(A742)),ISERROR(N742+O742+P742)),"Проверьте даты",IF(AND(N742&gt;0,P742&gt;1),"Дубль",IF(AND(N742&gt;0,O742&gt;0),O742,"Вне аренды"))))</f>
        <v/>
      </c>
      <c r="G742" s="12">
        <f>IF(ISNUMBER(F742),IFERROR(INDEX(Брони!$C$2:$C$500,MATCH(F742,Брони!$A$2:$A$500,0)),""),"")</f>
        <v/>
      </c>
      <c r="H742" s="10" t="n"/>
      <c r="I742" s="18" t="n"/>
      <c r="J742" s="12">
        <f>IF(AND(ISNUMBER(F742),I742&lt;&gt;""),IFERROR(IF(AND(INDEX(Брони!$F$2:$F$500,MATCH(F742,Брони!$A$2:$A$500,0))="Возвращена",I742&gt;INDEX(Брони!$E$2:$E$500,MATCH(F742,Брони!$A$2:$A$500,0))),"Да",""),""),"")</f>
        <v/>
      </c>
      <c r="K742" s="10" t="n"/>
      <c r="L742" s="14" t="n"/>
      <c r="M742" s="15">
        <f>IF(OR(A742="",B742=""),"",IF(AND(ISNUMBER(F742),H742&lt;&gt;"Компания"),D742+L742,0))</f>
        <v/>
      </c>
      <c r="N742" s="21">
        <f>SUMPRODUCT(MAX((Брони!$B$2:$B$500=B742)*((Брони!$F$2:$F$500="Выдана")+(Брони!$F$2:$F$500="Возвращена"))*(Брони!$D$2:$D$500&lt;=A742)*Брони!$D$2:$D$500))</f>
        <v/>
      </c>
      <c r="O742" s="19">
        <f>SUMPRODUCT((Брони!$B$2:$B$500=B742)*(Брони!$D$2:$D$500=N742)*((((Брони!$F$2:$F$500="Выдана")*NOW())+((Брони!$F$2:$F$500="Возвращена")*Брони!$E$2:$E$500))&gt;=A742)*Брони!$A$2:$A$500)</f>
        <v/>
      </c>
      <c r="P742" s="19">
        <f>SUMPRODUCT((Брони!$B$2:$B$500=B742)*(Брони!$D$2:$D$500=N742)*(((Брони!$F$2:$F$500="Выдана")+(Брони!$F$2:$F$500="Возвращена"))))</f>
        <v/>
      </c>
      <c r="Q742" s="10" t="n"/>
    </row>
    <row r="743">
      <c r="A743" s="11" t="n"/>
      <c r="B743" s="10" t="n"/>
      <c r="C743" s="10" t="n"/>
      <c r="D743" s="14" t="n"/>
      <c r="E743" s="10" t="n"/>
      <c r="F743" s="20">
        <f>IF(OR(A743="",B743=""),"",IF(OR(NOT(ISNUMBER(A743)),ISERROR(N743+O743+P743)),"Проверьте даты",IF(AND(N743&gt;0,P743&gt;1),"Дубль",IF(AND(N743&gt;0,O743&gt;0),O743,"Вне аренды"))))</f>
        <v/>
      </c>
      <c r="G743" s="12">
        <f>IF(ISNUMBER(F743),IFERROR(INDEX(Брони!$C$2:$C$500,MATCH(F743,Брони!$A$2:$A$500,0)),""),"")</f>
        <v/>
      </c>
      <c r="H743" s="10" t="n"/>
      <c r="I743" s="18" t="n"/>
      <c r="J743" s="12">
        <f>IF(AND(ISNUMBER(F743),I743&lt;&gt;""),IFERROR(IF(AND(INDEX(Брони!$F$2:$F$500,MATCH(F743,Брони!$A$2:$A$500,0))="Возвращена",I743&gt;INDEX(Брони!$E$2:$E$500,MATCH(F743,Брони!$A$2:$A$500,0))),"Да",""),""),"")</f>
        <v/>
      </c>
      <c r="K743" s="10" t="n"/>
      <c r="L743" s="14" t="n"/>
      <c r="M743" s="15">
        <f>IF(OR(A743="",B743=""),"",IF(AND(ISNUMBER(F743),H743&lt;&gt;"Компания"),D743+L743,0))</f>
        <v/>
      </c>
      <c r="N743" s="21">
        <f>SUMPRODUCT(MAX((Брони!$B$2:$B$500=B743)*((Брони!$F$2:$F$500="Выдана")+(Брони!$F$2:$F$500="Возвращена"))*(Брони!$D$2:$D$500&lt;=A743)*Брони!$D$2:$D$500))</f>
        <v/>
      </c>
      <c r="O743" s="19">
        <f>SUMPRODUCT((Брони!$B$2:$B$500=B743)*(Брони!$D$2:$D$500=N743)*((((Брони!$F$2:$F$500="Выдана")*NOW())+((Брони!$F$2:$F$500="Возвращена")*Брони!$E$2:$E$500))&gt;=A743)*Брони!$A$2:$A$500)</f>
        <v/>
      </c>
      <c r="P743" s="19">
        <f>SUMPRODUCT((Брони!$B$2:$B$500=B743)*(Брони!$D$2:$D$500=N743)*(((Брони!$F$2:$F$500="Выдана")+(Брони!$F$2:$F$500="Возвращена"))))</f>
        <v/>
      </c>
      <c r="Q743" s="10" t="n"/>
    </row>
    <row r="744">
      <c r="A744" s="11" t="n"/>
      <c r="B744" s="10" t="n"/>
      <c r="C744" s="10" t="n"/>
      <c r="D744" s="14" t="n"/>
      <c r="E744" s="10" t="n"/>
      <c r="F744" s="20">
        <f>IF(OR(A744="",B744=""),"",IF(OR(NOT(ISNUMBER(A744)),ISERROR(N744+O744+P744)),"Проверьте даты",IF(AND(N744&gt;0,P744&gt;1),"Дубль",IF(AND(N744&gt;0,O744&gt;0),O744,"Вне аренды"))))</f>
        <v/>
      </c>
      <c r="G744" s="12">
        <f>IF(ISNUMBER(F744),IFERROR(INDEX(Брони!$C$2:$C$500,MATCH(F744,Брони!$A$2:$A$500,0)),""),"")</f>
        <v/>
      </c>
      <c r="H744" s="10" t="n"/>
      <c r="I744" s="18" t="n"/>
      <c r="J744" s="12">
        <f>IF(AND(ISNUMBER(F744),I744&lt;&gt;""),IFERROR(IF(AND(INDEX(Брони!$F$2:$F$500,MATCH(F744,Брони!$A$2:$A$500,0))="Возвращена",I744&gt;INDEX(Брони!$E$2:$E$500,MATCH(F744,Брони!$A$2:$A$500,0))),"Да",""),""),"")</f>
        <v/>
      </c>
      <c r="K744" s="10" t="n"/>
      <c r="L744" s="14" t="n"/>
      <c r="M744" s="15">
        <f>IF(OR(A744="",B744=""),"",IF(AND(ISNUMBER(F744),H744&lt;&gt;"Компания"),D744+L744,0))</f>
        <v/>
      </c>
      <c r="N744" s="21">
        <f>SUMPRODUCT(MAX((Брони!$B$2:$B$500=B744)*((Брони!$F$2:$F$500="Выдана")+(Брони!$F$2:$F$500="Возвращена"))*(Брони!$D$2:$D$500&lt;=A744)*Брони!$D$2:$D$500))</f>
        <v/>
      </c>
      <c r="O744" s="19">
        <f>SUMPRODUCT((Брони!$B$2:$B$500=B744)*(Брони!$D$2:$D$500=N744)*((((Брони!$F$2:$F$500="Выдана")*NOW())+((Брони!$F$2:$F$500="Возвращена")*Брони!$E$2:$E$500))&gt;=A744)*Брони!$A$2:$A$500)</f>
        <v/>
      </c>
      <c r="P744" s="19">
        <f>SUMPRODUCT((Брони!$B$2:$B$500=B744)*(Брони!$D$2:$D$500=N744)*(((Брони!$F$2:$F$500="Выдана")+(Брони!$F$2:$F$500="Возвращена"))))</f>
        <v/>
      </c>
      <c r="Q744" s="10" t="n"/>
    </row>
    <row r="745">
      <c r="A745" s="11" t="n"/>
      <c r="B745" s="10" t="n"/>
      <c r="C745" s="10" t="n"/>
      <c r="D745" s="14" t="n"/>
      <c r="E745" s="10" t="n"/>
      <c r="F745" s="20">
        <f>IF(OR(A745="",B745=""),"",IF(OR(NOT(ISNUMBER(A745)),ISERROR(N745+O745+P745)),"Проверьте даты",IF(AND(N745&gt;0,P745&gt;1),"Дубль",IF(AND(N745&gt;0,O745&gt;0),O745,"Вне аренды"))))</f>
        <v/>
      </c>
      <c r="G745" s="12">
        <f>IF(ISNUMBER(F745),IFERROR(INDEX(Брони!$C$2:$C$500,MATCH(F745,Брони!$A$2:$A$500,0)),""),"")</f>
        <v/>
      </c>
      <c r="H745" s="10" t="n"/>
      <c r="I745" s="18" t="n"/>
      <c r="J745" s="12">
        <f>IF(AND(ISNUMBER(F745),I745&lt;&gt;""),IFERROR(IF(AND(INDEX(Брони!$F$2:$F$500,MATCH(F745,Брони!$A$2:$A$500,0))="Возвращена",I745&gt;INDEX(Брони!$E$2:$E$500,MATCH(F745,Брони!$A$2:$A$500,0))),"Да",""),""),"")</f>
        <v/>
      </c>
      <c r="K745" s="10" t="n"/>
      <c r="L745" s="14" t="n"/>
      <c r="M745" s="15">
        <f>IF(OR(A745="",B745=""),"",IF(AND(ISNUMBER(F745),H745&lt;&gt;"Компания"),D745+L745,0))</f>
        <v/>
      </c>
      <c r="N745" s="21">
        <f>SUMPRODUCT(MAX((Брони!$B$2:$B$500=B745)*((Брони!$F$2:$F$500="Выдана")+(Брони!$F$2:$F$500="Возвращена"))*(Брони!$D$2:$D$500&lt;=A745)*Брони!$D$2:$D$500))</f>
        <v/>
      </c>
      <c r="O745" s="19">
        <f>SUMPRODUCT((Брони!$B$2:$B$500=B745)*(Брони!$D$2:$D$500=N745)*((((Брони!$F$2:$F$500="Выдана")*NOW())+((Брони!$F$2:$F$500="Возвращена")*Брони!$E$2:$E$500))&gt;=A745)*Брони!$A$2:$A$500)</f>
        <v/>
      </c>
      <c r="P745" s="19">
        <f>SUMPRODUCT((Брони!$B$2:$B$500=B745)*(Брони!$D$2:$D$500=N745)*(((Брони!$F$2:$F$500="Выдана")+(Брони!$F$2:$F$500="Возвращена"))))</f>
        <v/>
      </c>
      <c r="Q745" s="10" t="n"/>
    </row>
    <row r="746">
      <c r="A746" s="11" t="n"/>
      <c r="B746" s="10" t="n"/>
      <c r="C746" s="10" t="n"/>
      <c r="D746" s="14" t="n"/>
      <c r="E746" s="10" t="n"/>
      <c r="F746" s="20">
        <f>IF(OR(A746="",B746=""),"",IF(OR(NOT(ISNUMBER(A746)),ISERROR(N746+O746+P746)),"Проверьте даты",IF(AND(N746&gt;0,P746&gt;1),"Дубль",IF(AND(N746&gt;0,O746&gt;0),O746,"Вне аренды"))))</f>
        <v/>
      </c>
      <c r="G746" s="12">
        <f>IF(ISNUMBER(F746),IFERROR(INDEX(Брони!$C$2:$C$500,MATCH(F746,Брони!$A$2:$A$500,0)),""),"")</f>
        <v/>
      </c>
      <c r="H746" s="10" t="n"/>
      <c r="I746" s="18" t="n"/>
      <c r="J746" s="12">
        <f>IF(AND(ISNUMBER(F746),I746&lt;&gt;""),IFERROR(IF(AND(INDEX(Брони!$F$2:$F$500,MATCH(F746,Брони!$A$2:$A$500,0))="Возвращена",I746&gt;INDEX(Брони!$E$2:$E$500,MATCH(F746,Брони!$A$2:$A$500,0))),"Да",""),""),"")</f>
        <v/>
      </c>
      <c r="K746" s="10" t="n"/>
      <c r="L746" s="14" t="n"/>
      <c r="M746" s="15">
        <f>IF(OR(A746="",B746=""),"",IF(AND(ISNUMBER(F746),H746&lt;&gt;"Компания"),D746+L746,0))</f>
        <v/>
      </c>
      <c r="N746" s="21">
        <f>SUMPRODUCT(MAX((Брони!$B$2:$B$500=B746)*((Брони!$F$2:$F$500="Выдана")+(Брони!$F$2:$F$500="Возвращена"))*(Брони!$D$2:$D$500&lt;=A746)*Брони!$D$2:$D$500))</f>
        <v/>
      </c>
      <c r="O746" s="19">
        <f>SUMPRODUCT((Брони!$B$2:$B$500=B746)*(Брони!$D$2:$D$500=N746)*((((Брони!$F$2:$F$500="Выдана")*NOW())+((Брони!$F$2:$F$500="Возвращена")*Брони!$E$2:$E$500))&gt;=A746)*Брони!$A$2:$A$500)</f>
        <v/>
      </c>
      <c r="P746" s="19">
        <f>SUMPRODUCT((Брони!$B$2:$B$500=B746)*(Брони!$D$2:$D$500=N746)*(((Брони!$F$2:$F$500="Выдана")+(Брони!$F$2:$F$500="Возвращена"))))</f>
        <v/>
      </c>
      <c r="Q746" s="10" t="n"/>
    </row>
    <row r="747">
      <c r="A747" s="11" t="n"/>
      <c r="B747" s="10" t="n"/>
      <c r="C747" s="10" t="n"/>
      <c r="D747" s="14" t="n"/>
      <c r="E747" s="10" t="n"/>
      <c r="F747" s="20">
        <f>IF(OR(A747="",B747=""),"",IF(OR(NOT(ISNUMBER(A747)),ISERROR(N747+O747+P747)),"Проверьте даты",IF(AND(N747&gt;0,P747&gt;1),"Дубль",IF(AND(N747&gt;0,O747&gt;0),O747,"Вне аренды"))))</f>
        <v/>
      </c>
      <c r="G747" s="12">
        <f>IF(ISNUMBER(F747),IFERROR(INDEX(Брони!$C$2:$C$500,MATCH(F747,Брони!$A$2:$A$500,0)),""),"")</f>
        <v/>
      </c>
      <c r="H747" s="10" t="n"/>
      <c r="I747" s="18" t="n"/>
      <c r="J747" s="12">
        <f>IF(AND(ISNUMBER(F747),I747&lt;&gt;""),IFERROR(IF(AND(INDEX(Брони!$F$2:$F$500,MATCH(F747,Брони!$A$2:$A$500,0))="Возвращена",I747&gt;INDEX(Брони!$E$2:$E$500,MATCH(F747,Брони!$A$2:$A$500,0))),"Да",""),""),"")</f>
        <v/>
      </c>
      <c r="K747" s="10" t="n"/>
      <c r="L747" s="14" t="n"/>
      <c r="M747" s="15">
        <f>IF(OR(A747="",B747=""),"",IF(AND(ISNUMBER(F747),H747&lt;&gt;"Компания"),D747+L747,0))</f>
        <v/>
      </c>
      <c r="N747" s="21">
        <f>SUMPRODUCT(MAX((Брони!$B$2:$B$500=B747)*((Брони!$F$2:$F$500="Выдана")+(Брони!$F$2:$F$500="Возвращена"))*(Брони!$D$2:$D$500&lt;=A747)*Брони!$D$2:$D$500))</f>
        <v/>
      </c>
      <c r="O747" s="19">
        <f>SUMPRODUCT((Брони!$B$2:$B$500=B747)*(Брони!$D$2:$D$500=N747)*((((Брони!$F$2:$F$500="Выдана")*NOW())+((Брони!$F$2:$F$500="Возвращена")*Брони!$E$2:$E$500))&gt;=A747)*Брони!$A$2:$A$500)</f>
        <v/>
      </c>
      <c r="P747" s="19">
        <f>SUMPRODUCT((Брони!$B$2:$B$500=B747)*(Брони!$D$2:$D$500=N747)*(((Брони!$F$2:$F$500="Выдана")+(Брони!$F$2:$F$500="Возвращена"))))</f>
        <v/>
      </c>
      <c r="Q747" s="10" t="n"/>
    </row>
    <row r="748">
      <c r="A748" s="11" t="n"/>
      <c r="B748" s="10" t="n"/>
      <c r="C748" s="10" t="n"/>
      <c r="D748" s="14" t="n"/>
      <c r="E748" s="10" t="n"/>
      <c r="F748" s="20">
        <f>IF(OR(A748="",B748=""),"",IF(OR(NOT(ISNUMBER(A748)),ISERROR(N748+O748+P748)),"Проверьте даты",IF(AND(N748&gt;0,P748&gt;1),"Дубль",IF(AND(N748&gt;0,O748&gt;0),O748,"Вне аренды"))))</f>
        <v/>
      </c>
      <c r="G748" s="12">
        <f>IF(ISNUMBER(F748),IFERROR(INDEX(Брони!$C$2:$C$500,MATCH(F748,Брони!$A$2:$A$500,0)),""),"")</f>
        <v/>
      </c>
      <c r="H748" s="10" t="n"/>
      <c r="I748" s="18" t="n"/>
      <c r="J748" s="12">
        <f>IF(AND(ISNUMBER(F748),I748&lt;&gt;""),IFERROR(IF(AND(INDEX(Брони!$F$2:$F$500,MATCH(F748,Брони!$A$2:$A$500,0))="Возвращена",I748&gt;INDEX(Брони!$E$2:$E$500,MATCH(F748,Брони!$A$2:$A$500,0))),"Да",""),""),"")</f>
        <v/>
      </c>
      <c r="K748" s="10" t="n"/>
      <c r="L748" s="14" t="n"/>
      <c r="M748" s="15">
        <f>IF(OR(A748="",B748=""),"",IF(AND(ISNUMBER(F748),H748&lt;&gt;"Компания"),D748+L748,0))</f>
        <v/>
      </c>
      <c r="N748" s="21">
        <f>SUMPRODUCT(MAX((Брони!$B$2:$B$500=B748)*((Брони!$F$2:$F$500="Выдана")+(Брони!$F$2:$F$500="Возвращена"))*(Брони!$D$2:$D$500&lt;=A748)*Брони!$D$2:$D$500))</f>
        <v/>
      </c>
      <c r="O748" s="19">
        <f>SUMPRODUCT((Брони!$B$2:$B$500=B748)*(Брони!$D$2:$D$500=N748)*((((Брони!$F$2:$F$500="Выдана")*NOW())+((Брони!$F$2:$F$500="Возвращена")*Брони!$E$2:$E$500))&gt;=A748)*Брони!$A$2:$A$500)</f>
        <v/>
      </c>
      <c r="P748" s="19">
        <f>SUMPRODUCT((Брони!$B$2:$B$500=B748)*(Брони!$D$2:$D$500=N748)*(((Брони!$F$2:$F$500="Выдана")+(Брони!$F$2:$F$500="Возвращена"))))</f>
        <v/>
      </c>
      <c r="Q748" s="10" t="n"/>
    </row>
    <row r="749">
      <c r="A749" s="11" t="n"/>
      <c r="B749" s="10" t="n"/>
      <c r="C749" s="10" t="n"/>
      <c r="D749" s="14" t="n"/>
      <c r="E749" s="10" t="n"/>
      <c r="F749" s="20">
        <f>IF(OR(A749="",B749=""),"",IF(OR(NOT(ISNUMBER(A749)),ISERROR(N749+O749+P749)),"Проверьте даты",IF(AND(N749&gt;0,P749&gt;1),"Дубль",IF(AND(N749&gt;0,O749&gt;0),O749,"Вне аренды"))))</f>
        <v/>
      </c>
      <c r="G749" s="12">
        <f>IF(ISNUMBER(F749),IFERROR(INDEX(Брони!$C$2:$C$500,MATCH(F749,Брони!$A$2:$A$500,0)),""),"")</f>
        <v/>
      </c>
      <c r="H749" s="10" t="n"/>
      <c r="I749" s="18" t="n"/>
      <c r="J749" s="12">
        <f>IF(AND(ISNUMBER(F749),I749&lt;&gt;""),IFERROR(IF(AND(INDEX(Брони!$F$2:$F$500,MATCH(F749,Брони!$A$2:$A$500,0))="Возвращена",I749&gt;INDEX(Брони!$E$2:$E$500,MATCH(F749,Брони!$A$2:$A$500,0))),"Да",""),""),"")</f>
        <v/>
      </c>
      <c r="K749" s="10" t="n"/>
      <c r="L749" s="14" t="n"/>
      <c r="M749" s="15">
        <f>IF(OR(A749="",B749=""),"",IF(AND(ISNUMBER(F749),H749&lt;&gt;"Компания"),D749+L749,0))</f>
        <v/>
      </c>
      <c r="N749" s="21">
        <f>SUMPRODUCT(MAX((Брони!$B$2:$B$500=B749)*((Брони!$F$2:$F$500="Выдана")+(Брони!$F$2:$F$500="Возвращена"))*(Брони!$D$2:$D$500&lt;=A749)*Брони!$D$2:$D$500))</f>
        <v/>
      </c>
      <c r="O749" s="19">
        <f>SUMPRODUCT((Брони!$B$2:$B$500=B749)*(Брони!$D$2:$D$500=N749)*((((Брони!$F$2:$F$500="Выдана")*NOW())+((Брони!$F$2:$F$500="Возвращена")*Брони!$E$2:$E$500))&gt;=A749)*Брони!$A$2:$A$500)</f>
        <v/>
      </c>
      <c r="P749" s="19">
        <f>SUMPRODUCT((Брони!$B$2:$B$500=B749)*(Брони!$D$2:$D$500=N749)*(((Брони!$F$2:$F$500="Выдана")+(Брони!$F$2:$F$500="Возвращена"))))</f>
        <v/>
      </c>
      <c r="Q749" s="10" t="n"/>
    </row>
    <row r="750">
      <c r="A750" s="11" t="n"/>
      <c r="B750" s="10" t="n"/>
      <c r="C750" s="10" t="n"/>
      <c r="D750" s="14" t="n"/>
      <c r="E750" s="10" t="n"/>
      <c r="F750" s="20">
        <f>IF(OR(A750="",B750=""),"",IF(OR(NOT(ISNUMBER(A750)),ISERROR(N750+O750+P750)),"Проверьте даты",IF(AND(N750&gt;0,P750&gt;1),"Дубль",IF(AND(N750&gt;0,O750&gt;0),O750,"Вне аренды"))))</f>
        <v/>
      </c>
      <c r="G750" s="12">
        <f>IF(ISNUMBER(F750),IFERROR(INDEX(Брони!$C$2:$C$500,MATCH(F750,Брони!$A$2:$A$500,0)),""),"")</f>
        <v/>
      </c>
      <c r="H750" s="10" t="n"/>
      <c r="I750" s="18" t="n"/>
      <c r="J750" s="12">
        <f>IF(AND(ISNUMBER(F750),I750&lt;&gt;""),IFERROR(IF(AND(INDEX(Брони!$F$2:$F$500,MATCH(F750,Брони!$A$2:$A$500,0))="Возвращена",I750&gt;INDEX(Брони!$E$2:$E$500,MATCH(F750,Брони!$A$2:$A$500,0))),"Да",""),""),"")</f>
        <v/>
      </c>
      <c r="K750" s="10" t="n"/>
      <c r="L750" s="14" t="n"/>
      <c r="M750" s="15">
        <f>IF(OR(A750="",B750=""),"",IF(AND(ISNUMBER(F750),H750&lt;&gt;"Компания"),D750+L750,0))</f>
        <v/>
      </c>
      <c r="N750" s="21">
        <f>SUMPRODUCT(MAX((Брони!$B$2:$B$500=B750)*((Брони!$F$2:$F$500="Выдана")+(Брони!$F$2:$F$500="Возвращена"))*(Брони!$D$2:$D$500&lt;=A750)*Брони!$D$2:$D$500))</f>
        <v/>
      </c>
      <c r="O750" s="19">
        <f>SUMPRODUCT((Брони!$B$2:$B$500=B750)*(Брони!$D$2:$D$500=N750)*((((Брони!$F$2:$F$500="Выдана")*NOW())+((Брони!$F$2:$F$500="Возвращена")*Брони!$E$2:$E$500))&gt;=A750)*Брони!$A$2:$A$500)</f>
        <v/>
      </c>
      <c r="P750" s="19">
        <f>SUMPRODUCT((Брони!$B$2:$B$500=B750)*(Брони!$D$2:$D$500=N750)*(((Брони!$F$2:$F$500="Выдана")+(Брони!$F$2:$F$500="Возвращена"))))</f>
        <v/>
      </c>
      <c r="Q750" s="10" t="n"/>
    </row>
    <row r="751">
      <c r="A751" s="11" t="n"/>
      <c r="B751" s="10" t="n"/>
      <c r="C751" s="10" t="n"/>
      <c r="D751" s="14" t="n"/>
      <c r="E751" s="10" t="n"/>
      <c r="F751" s="20">
        <f>IF(OR(A751="",B751=""),"",IF(OR(NOT(ISNUMBER(A751)),ISERROR(N751+O751+P751)),"Проверьте даты",IF(AND(N751&gt;0,P751&gt;1),"Дубль",IF(AND(N751&gt;0,O751&gt;0),O751,"Вне аренды"))))</f>
        <v/>
      </c>
      <c r="G751" s="12">
        <f>IF(ISNUMBER(F751),IFERROR(INDEX(Брони!$C$2:$C$500,MATCH(F751,Брони!$A$2:$A$500,0)),""),"")</f>
        <v/>
      </c>
      <c r="H751" s="10" t="n"/>
      <c r="I751" s="18" t="n"/>
      <c r="J751" s="12">
        <f>IF(AND(ISNUMBER(F751),I751&lt;&gt;""),IFERROR(IF(AND(INDEX(Брони!$F$2:$F$500,MATCH(F751,Брони!$A$2:$A$500,0))="Возвращена",I751&gt;INDEX(Брони!$E$2:$E$500,MATCH(F751,Брони!$A$2:$A$500,0))),"Да",""),""),"")</f>
        <v/>
      </c>
      <c r="K751" s="10" t="n"/>
      <c r="L751" s="14" t="n"/>
      <c r="M751" s="15">
        <f>IF(OR(A751="",B751=""),"",IF(AND(ISNUMBER(F751),H751&lt;&gt;"Компания"),D751+L751,0))</f>
        <v/>
      </c>
      <c r="N751" s="21">
        <f>SUMPRODUCT(MAX((Брони!$B$2:$B$500=B751)*((Брони!$F$2:$F$500="Выдана")+(Брони!$F$2:$F$500="Возвращена"))*(Брони!$D$2:$D$500&lt;=A751)*Брони!$D$2:$D$500))</f>
        <v/>
      </c>
      <c r="O751" s="19">
        <f>SUMPRODUCT((Брони!$B$2:$B$500=B751)*(Брони!$D$2:$D$500=N751)*((((Брони!$F$2:$F$500="Выдана")*NOW())+((Брони!$F$2:$F$500="Возвращена")*Брони!$E$2:$E$500))&gt;=A751)*Брони!$A$2:$A$500)</f>
        <v/>
      </c>
      <c r="P751" s="19">
        <f>SUMPRODUCT((Брони!$B$2:$B$500=B751)*(Брони!$D$2:$D$500=N751)*(((Брони!$F$2:$F$500="Выдана")+(Брони!$F$2:$F$500="Возвращена"))))</f>
        <v/>
      </c>
      <c r="Q751" s="10" t="n"/>
    </row>
    <row r="752">
      <c r="A752" s="11" t="n"/>
      <c r="B752" s="10" t="n"/>
      <c r="C752" s="10" t="n"/>
      <c r="D752" s="14" t="n"/>
      <c r="E752" s="10" t="n"/>
      <c r="F752" s="20">
        <f>IF(OR(A752="",B752=""),"",IF(OR(NOT(ISNUMBER(A752)),ISERROR(N752+O752+P752)),"Проверьте даты",IF(AND(N752&gt;0,P752&gt;1),"Дубль",IF(AND(N752&gt;0,O752&gt;0),O752,"Вне аренды"))))</f>
        <v/>
      </c>
      <c r="G752" s="12">
        <f>IF(ISNUMBER(F752),IFERROR(INDEX(Брони!$C$2:$C$500,MATCH(F752,Брони!$A$2:$A$500,0)),""),"")</f>
        <v/>
      </c>
      <c r="H752" s="10" t="n"/>
      <c r="I752" s="18" t="n"/>
      <c r="J752" s="12">
        <f>IF(AND(ISNUMBER(F752),I752&lt;&gt;""),IFERROR(IF(AND(INDEX(Брони!$F$2:$F$500,MATCH(F752,Брони!$A$2:$A$500,0))="Возвращена",I752&gt;INDEX(Брони!$E$2:$E$500,MATCH(F752,Брони!$A$2:$A$500,0))),"Да",""),""),"")</f>
        <v/>
      </c>
      <c r="K752" s="10" t="n"/>
      <c r="L752" s="14" t="n"/>
      <c r="M752" s="15">
        <f>IF(OR(A752="",B752=""),"",IF(AND(ISNUMBER(F752),H752&lt;&gt;"Компания"),D752+L752,0))</f>
        <v/>
      </c>
      <c r="N752" s="21">
        <f>SUMPRODUCT(MAX((Брони!$B$2:$B$500=B752)*((Брони!$F$2:$F$500="Выдана")+(Брони!$F$2:$F$500="Возвращена"))*(Брони!$D$2:$D$500&lt;=A752)*Брони!$D$2:$D$500))</f>
        <v/>
      </c>
      <c r="O752" s="19">
        <f>SUMPRODUCT((Брони!$B$2:$B$500=B752)*(Брони!$D$2:$D$500=N752)*((((Брони!$F$2:$F$500="Выдана")*NOW())+((Брони!$F$2:$F$500="Возвращена")*Брони!$E$2:$E$500))&gt;=A752)*Брони!$A$2:$A$500)</f>
        <v/>
      </c>
      <c r="P752" s="19">
        <f>SUMPRODUCT((Брони!$B$2:$B$500=B752)*(Брони!$D$2:$D$500=N752)*(((Брони!$F$2:$F$500="Выдана")+(Брони!$F$2:$F$500="Возвращена"))))</f>
        <v/>
      </c>
      <c r="Q752" s="10" t="n"/>
    </row>
    <row r="753">
      <c r="A753" s="11" t="n"/>
      <c r="B753" s="10" t="n"/>
      <c r="C753" s="10" t="n"/>
      <c r="D753" s="14" t="n"/>
      <c r="E753" s="10" t="n"/>
      <c r="F753" s="20">
        <f>IF(OR(A753="",B753=""),"",IF(OR(NOT(ISNUMBER(A753)),ISERROR(N753+O753+P753)),"Проверьте даты",IF(AND(N753&gt;0,P753&gt;1),"Дубль",IF(AND(N753&gt;0,O753&gt;0),O753,"Вне аренды"))))</f>
        <v/>
      </c>
      <c r="G753" s="12">
        <f>IF(ISNUMBER(F753),IFERROR(INDEX(Брони!$C$2:$C$500,MATCH(F753,Брони!$A$2:$A$500,0)),""),"")</f>
        <v/>
      </c>
      <c r="H753" s="10" t="n"/>
      <c r="I753" s="18" t="n"/>
      <c r="J753" s="12">
        <f>IF(AND(ISNUMBER(F753),I753&lt;&gt;""),IFERROR(IF(AND(INDEX(Брони!$F$2:$F$500,MATCH(F753,Брони!$A$2:$A$500,0))="Возвращена",I753&gt;INDEX(Брони!$E$2:$E$500,MATCH(F753,Брони!$A$2:$A$500,0))),"Да",""),""),"")</f>
        <v/>
      </c>
      <c r="K753" s="10" t="n"/>
      <c r="L753" s="14" t="n"/>
      <c r="M753" s="15">
        <f>IF(OR(A753="",B753=""),"",IF(AND(ISNUMBER(F753),H753&lt;&gt;"Компания"),D753+L753,0))</f>
        <v/>
      </c>
      <c r="N753" s="21">
        <f>SUMPRODUCT(MAX((Брони!$B$2:$B$500=B753)*((Брони!$F$2:$F$500="Выдана")+(Брони!$F$2:$F$500="Возвращена"))*(Брони!$D$2:$D$500&lt;=A753)*Брони!$D$2:$D$500))</f>
        <v/>
      </c>
      <c r="O753" s="19">
        <f>SUMPRODUCT((Брони!$B$2:$B$500=B753)*(Брони!$D$2:$D$500=N753)*((((Брони!$F$2:$F$500="Выдана")*NOW())+((Брони!$F$2:$F$500="Возвращена")*Брони!$E$2:$E$500))&gt;=A753)*Брони!$A$2:$A$500)</f>
        <v/>
      </c>
      <c r="P753" s="19">
        <f>SUMPRODUCT((Брони!$B$2:$B$500=B753)*(Брони!$D$2:$D$500=N753)*(((Брони!$F$2:$F$500="Выдана")+(Брони!$F$2:$F$500="Возвращена"))))</f>
        <v/>
      </c>
      <c r="Q753" s="10" t="n"/>
    </row>
    <row r="754">
      <c r="A754" s="11" t="n"/>
      <c r="B754" s="10" t="n"/>
      <c r="C754" s="10" t="n"/>
      <c r="D754" s="14" t="n"/>
      <c r="E754" s="10" t="n"/>
      <c r="F754" s="20">
        <f>IF(OR(A754="",B754=""),"",IF(OR(NOT(ISNUMBER(A754)),ISERROR(N754+O754+P754)),"Проверьте даты",IF(AND(N754&gt;0,P754&gt;1),"Дубль",IF(AND(N754&gt;0,O754&gt;0),O754,"Вне аренды"))))</f>
        <v/>
      </c>
      <c r="G754" s="12">
        <f>IF(ISNUMBER(F754),IFERROR(INDEX(Брони!$C$2:$C$500,MATCH(F754,Брони!$A$2:$A$500,0)),""),"")</f>
        <v/>
      </c>
      <c r="H754" s="10" t="n"/>
      <c r="I754" s="18" t="n"/>
      <c r="J754" s="12">
        <f>IF(AND(ISNUMBER(F754),I754&lt;&gt;""),IFERROR(IF(AND(INDEX(Брони!$F$2:$F$500,MATCH(F754,Брони!$A$2:$A$500,0))="Возвращена",I754&gt;INDEX(Брони!$E$2:$E$500,MATCH(F754,Брони!$A$2:$A$500,0))),"Да",""),""),"")</f>
        <v/>
      </c>
      <c r="K754" s="10" t="n"/>
      <c r="L754" s="14" t="n"/>
      <c r="M754" s="15">
        <f>IF(OR(A754="",B754=""),"",IF(AND(ISNUMBER(F754),H754&lt;&gt;"Компания"),D754+L754,0))</f>
        <v/>
      </c>
      <c r="N754" s="21">
        <f>SUMPRODUCT(MAX((Брони!$B$2:$B$500=B754)*((Брони!$F$2:$F$500="Выдана")+(Брони!$F$2:$F$500="Возвращена"))*(Брони!$D$2:$D$500&lt;=A754)*Брони!$D$2:$D$500))</f>
        <v/>
      </c>
      <c r="O754" s="19">
        <f>SUMPRODUCT((Брони!$B$2:$B$500=B754)*(Брони!$D$2:$D$500=N754)*((((Брони!$F$2:$F$500="Выдана")*NOW())+((Брони!$F$2:$F$500="Возвращена")*Брони!$E$2:$E$500))&gt;=A754)*Брони!$A$2:$A$500)</f>
        <v/>
      </c>
      <c r="P754" s="19">
        <f>SUMPRODUCT((Брони!$B$2:$B$500=B754)*(Брони!$D$2:$D$500=N754)*(((Брони!$F$2:$F$500="Выдана")+(Брони!$F$2:$F$500="Возвращена"))))</f>
        <v/>
      </c>
      <c r="Q754" s="10" t="n"/>
    </row>
    <row r="755">
      <c r="A755" s="11" t="n"/>
      <c r="B755" s="10" t="n"/>
      <c r="C755" s="10" t="n"/>
      <c r="D755" s="14" t="n"/>
      <c r="E755" s="10" t="n"/>
      <c r="F755" s="20">
        <f>IF(OR(A755="",B755=""),"",IF(OR(NOT(ISNUMBER(A755)),ISERROR(N755+O755+P755)),"Проверьте даты",IF(AND(N755&gt;0,P755&gt;1),"Дубль",IF(AND(N755&gt;0,O755&gt;0),O755,"Вне аренды"))))</f>
        <v/>
      </c>
      <c r="G755" s="12">
        <f>IF(ISNUMBER(F755),IFERROR(INDEX(Брони!$C$2:$C$500,MATCH(F755,Брони!$A$2:$A$500,0)),""),"")</f>
        <v/>
      </c>
      <c r="H755" s="10" t="n"/>
      <c r="I755" s="18" t="n"/>
      <c r="J755" s="12">
        <f>IF(AND(ISNUMBER(F755),I755&lt;&gt;""),IFERROR(IF(AND(INDEX(Брони!$F$2:$F$500,MATCH(F755,Брони!$A$2:$A$500,0))="Возвращена",I755&gt;INDEX(Брони!$E$2:$E$500,MATCH(F755,Брони!$A$2:$A$500,0))),"Да",""),""),"")</f>
        <v/>
      </c>
      <c r="K755" s="10" t="n"/>
      <c r="L755" s="14" t="n"/>
      <c r="M755" s="15">
        <f>IF(OR(A755="",B755=""),"",IF(AND(ISNUMBER(F755),H755&lt;&gt;"Компания"),D755+L755,0))</f>
        <v/>
      </c>
      <c r="N755" s="21">
        <f>SUMPRODUCT(MAX((Брони!$B$2:$B$500=B755)*((Брони!$F$2:$F$500="Выдана")+(Брони!$F$2:$F$500="Возвращена"))*(Брони!$D$2:$D$500&lt;=A755)*Брони!$D$2:$D$500))</f>
        <v/>
      </c>
      <c r="O755" s="19">
        <f>SUMPRODUCT((Брони!$B$2:$B$500=B755)*(Брони!$D$2:$D$500=N755)*((((Брони!$F$2:$F$500="Выдана")*NOW())+((Брони!$F$2:$F$500="Возвращена")*Брони!$E$2:$E$500))&gt;=A755)*Брони!$A$2:$A$500)</f>
        <v/>
      </c>
      <c r="P755" s="19">
        <f>SUMPRODUCT((Брони!$B$2:$B$500=B755)*(Брони!$D$2:$D$500=N755)*(((Брони!$F$2:$F$500="Выдана")+(Брони!$F$2:$F$500="Возвращена"))))</f>
        <v/>
      </c>
      <c r="Q755" s="10" t="n"/>
    </row>
    <row r="756">
      <c r="A756" s="11" t="n"/>
      <c r="B756" s="10" t="n"/>
      <c r="C756" s="10" t="n"/>
      <c r="D756" s="14" t="n"/>
      <c r="E756" s="10" t="n"/>
      <c r="F756" s="20">
        <f>IF(OR(A756="",B756=""),"",IF(OR(NOT(ISNUMBER(A756)),ISERROR(N756+O756+P756)),"Проверьте даты",IF(AND(N756&gt;0,P756&gt;1),"Дубль",IF(AND(N756&gt;0,O756&gt;0),O756,"Вне аренды"))))</f>
        <v/>
      </c>
      <c r="G756" s="12">
        <f>IF(ISNUMBER(F756),IFERROR(INDEX(Брони!$C$2:$C$500,MATCH(F756,Брони!$A$2:$A$500,0)),""),"")</f>
        <v/>
      </c>
      <c r="H756" s="10" t="n"/>
      <c r="I756" s="18" t="n"/>
      <c r="J756" s="12">
        <f>IF(AND(ISNUMBER(F756),I756&lt;&gt;""),IFERROR(IF(AND(INDEX(Брони!$F$2:$F$500,MATCH(F756,Брони!$A$2:$A$500,0))="Возвращена",I756&gt;INDEX(Брони!$E$2:$E$500,MATCH(F756,Брони!$A$2:$A$500,0))),"Да",""),""),"")</f>
        <v/>
      </c>
      <c r="K756" s="10" t="n"/>
      <c r="L756" s="14" t="n"/>
      <c r="M756" s="15">
        <f>IF(OR(A756="",B756=""),"",IF(AND(ISNUMBER(F756),H756&lt;&gt;"Компания"),D756+L756,0))</f>
        <v/>
      </c>
      <c r="N756" s="21">
        <f>SUMPRODUCT(MAX((Брони!$B$2:$B$500=B756)*((Брони!$F$2:$F$500="Выдана")+(Брони!$F$2:$F$500="Возвращена"))*(Брони!$D$2:$D$500&lt;=A756)*Брони!$D$2:$D$500))</f>
        <v/>
      </c>
      <c r="O756" s="19">
        <f>SUMPRODUCT((Брони!$B$2:$B$500=B756)*(Брони!$D$2:$D$500=N756)*((((Брони!$F$2:$F$500="Выдана")*NOW())+((Брони!$F$2:$F$500="Возвращена")*Брони!$E$2:$E$500))&gt;=A756)*Брони!$A$2:$A$500)</f>
        <v/>
      </c>
      <c r="P756" s="19">
        <f>SUMPRODUCT((Брони!$B$2:$B$500=B756)*(Брони!$D$2:$D$500=N756)*(((Брони!$F$2:$F$500="Выдана")+(Брони!$F$2:$F$500="Возвращена"))))</f>
        <v/>
      </c>
      <c r="Q756" s="10" t="n"/>
    </row>
    <row r="757">
      <c r="A757" s="11" t="n"/>
      <c r="B757" s="10" t="n"/>
      <c r="C757" s="10" t="n"/>
      <c r="D757" s="14" t="n"/>
      <c r="E757" s="10" t="n"/>
      <c r="F757" s="20">
        <f>IF(OR(A757="",B757=""),"",IF(OR(NOT(ISNUMBER(A757)),ISERROR(N757+O757+P757)),"Проверьте даты",IF(AND(N757&gt;0,P757&gt;1),"Дубль",IF(AND(N757&gt;0,O757&gt;0),O757,"Вне аренды"))))</f>
        <v/>
      </c>
      <c r="G757" s="12">
        <f>IF(ISNUMBER(F757),IFERROR(INDEX(Брони!$C$2:$C$500,MATCH(F757,Брони!$A$2:$A$500,0)),""),"")</f>
        <v/>
      </c>
      <c r="H757" s="10" t="n"/>
      <c r="I757" s="18" t="n"/>
      <c r="J757" s="12">
        <f>IF(AND(ISNUMBER(F757),I757&lt;&gt;""),IFERROR(IF(AND(INDEX(Брони!$F$2:$F$500,MATCH(F757,Брони!$A$2:$A$500,0))="Возвращена",I757&gt;INDEX(Брони!$E$2:$E$500,MATCH(F757,Брони!$A$2:$A$500,0))),"Да",""),""),"")</f>
        <v/>
      </c>
      <c r="K757" s="10" t="n"/>
      <c r="L757" s="14" t="n"/>
      <c r="M757" s="15">
        <f>IF(OR(A757="",B757=""),"",IF(AND(ISNUMBER(F757),H757&lt;&gt;"Компания"),D757+L757,0))</f>
        <v/>
      </c>
      <c r="N757" s="21">
        <f>SUMPRODUCT(MAX((Брони!$B$2:$B$500=B757)*((Брони!$F$2:$F$500="Выдана")+(Брони!$F$2:$F$500="Возвращена"))*(Брони!$D$2:$D$500&lt;=A757)*Брони!$D$2:$D$500))</f>
        <v/>
      </c>
      <c r="O757" s="19">
        <f>SUMPRODUCT((Брони!$B$2:$B$500=B757)*(Брони!$D$2:$D$500=N757)*((((Брони!$F$2:$F$500="Выдана")*NOW())+((Брони!$F$2:$F$500="Возвращена")*Брони!$E$2:$E$500))&gt;=A757)*Брони!$A$2:$A$500)</f>
        <v/>
      </c>
      <c r="P757" s="19">
        <f>SUMPRODUCT((Брони!$B$2:$B$500=B757)*(Брони!$D$2:$D$500=N757)*(((Брони!$F$2:$F$500="Выдана")+(Брони!$F$2:$F$500="Возвращена"))))</f>
        <v/>
      </c>
      <c r="Q757" s="10" t="n"/>
    </row>
    <row r="758">
      <c r="A758" s="11" t="n"/>
      <c r="B758" s="10" t="n"/>
      <c r="C758" s="10" t="n"/>
      <c r="D758" s="14" t="n"/>
      <c r="E758" s="10" t="n"/>
      <c r="F758" s="20">
        <f>IF(OR(A758="",B758=""),"",IF(OR(NOT(ISNUMBER(A758)),ISERROR(N758+O758+P758)),"Проверьте даты",IF(AND(N758&gt;0,P758&gt;1),"Дубль",IF(AND(N758&gt;0,O758&gt;0),O758,"Вне аренды"))))</f>
        <v/>
      </c>
      <c r="G758" s="12">
        <f>IF(ISNUMBER(F758),IFERROR(INDEX(Брони!$C$2:$C$500,MATCH(F758,Брони!$A$2:$A$500,0)),""),"")</f>
        <v/>
      </c>
      <c r="H758" s="10" t="n"/>
      <c r="I758" s="18" t="n"/>
      <c r="J758" s="12">
        <f>IF(AND(ISNUMBER(F758),I758&lt;&gt;""),IFERROR(IF(AND(INDEX(Брони!$F$2:$F$500,MATCH(F758,Брони!$A$2:$A$500,0))="Возвращена",I758&gt;INDEX(Брони!$E$2:$E$500,MATCH(F758,Брони!$A$2:$A$500,0))),"Да",""),""),"")</f>
        <v/>
      </c>
      <c r="K758" s="10" t="n"/>
      <c r="L758" s="14" t="n"/>
      <c r="M758" s="15">
        <f>IF(OR(A758="",B758=""),"",IF(AND(ISNUMBER(F758),H758&lt;&gt;"Компания"),D758+L758,0))</f>
        <v/>
      </c>
      <c r="N758" s="21">
        <f>SUMPRODUCT(MAX((Брони!$B$2:$B$500=B758)*((Брони!$F$2:$F$500="Выдана")+(Брони!$F$2:$F$500="Возвращена"))*(Брони!$D$2:$D$500&lt;=A758)*Брони!$D$2:$D$500))</f>
        <v/>
      </c>
      <c r="O758" s="19">
        <f>SUMPRODUCT((Брони!$B$2:$B$500=B758)*(Брони!$D$2:$D$500=N758)*((((Брони!$F$2:$F$500="Выдана")*NOW())+((Брони!$F$2:$F$500="Возвращена")*Брони!$E$2:$E$500))&gt;=A758)*Брони!$A$2:$A$500)</f>
        <v/>
      </c>
      <c r="P758" s="19">
        <f>SUMPRODUCT((Брони!$B$2:$B$500=B758)*(Брони!$D$2:$D$500=N758)*(((Брони!$F$2:$F$500="Выдана")+(Брони!$F$2:$F$500="Возвращена"))))</f>
        <v/>
      </c>
      <c r="Q758" s="10" t="n"/>
    </row>
    <row r="759">
      <c r="A759" s="11" t="n"/>
      <c r="B759" s="10" t="n"/>
      <c r="C759" s="10" t="n"/>
      <c r="D759" s="14" t="n"/>
      <c r="E759" s="10" t="n"/>
      <c r="F759" s="20">
        <f>IF(OR(A759="",B759=""),"",IF(OR(NOT(ISNUMBER(A759)),ISERROR(N759+O759+P759)),"Проверьте даты",IF(AND(N759&gt;0,P759&gt;1),"Дубль",IF(AND(N759&gt;0,O759&gt;0),O759,"Вне аренды"))))</f>
        <v/>
      </c>
      <c r="G759" s="12">
        <f>IF(ISNUMBER(F759),IFERROR(INDEX(Брони!$C$2:$C$500,MATCH(F759,Брони!$A$2:$A$500,0)),""),"")</f>
        <v/>
      </c>
      <c r="H759" s="10" t="n"/>
      <c r="I759" s="18" t="n"/>
      <c r="J759" s="12">
        <f>IF(AND(ISNUMBER(F759),I759&lt;&gt;""),IFERROR(IF(AND(INDEX(Брони!$F$2:$F$500,MATCH(F759,Брони!$A$2:$A$500,0))="Возвращена",I759&gt;INDEX(Брони!$E$2:$E$500,MATCH(F759,Брони!$A$2:$A$500,0))),"Да",""),""),"")</f>
        <v/>
      </c>
      <c r="K759" s="10" t="n"/>
      <c r="L759" s="14" t="n"/>
      <c r="M759" s="15">
        <f>IF(OR(A759="",B759=""),"",IF(AND(ISNUMBER(F759),H759&lt;&gt;"Компания"),D759+L759,0))</f>
        <v/>
      </c>
      <c r="N759" s="21">
        <f>SUMPRODUCT(MAX((Брони!$B$2:$B$500=B759)*((Брони!$F$2:$F$500="Выдана")+(Брони!$F$2:$F$500="Возвращена"))*(Брони!$D$2:$D$500&lt;=A759)*Брони!$D$2:$D$500))</f>
        <v/>
      </c>
      <c r="O759" s="19">
        <f>SUMPRODUCT((Брони!$B$2:$B$500=B759)*(Брони!$D$2:$D$500=N759)*((((Брони!$F$2:$F$500="Выдана")*NOW())+((Брони!$F$2:$F$500="Возвращена")*Брони!$E$2:$E$500))&gt;=A759)*Брони!$A$2:$A$500)</f>
        <v/>
      </c>
      <c r="P759" s="19">
        <f>SUMPRODUCT((Брони!$B$2:$B$500=B759)*(Брони!$D$2:$D$500=N759)*(((Брони!$F$2:$F$500="Выдана")+(Брони!$F$2:$F$500="Возвращена"))))</f>
        <v/>
      </c>
      <c r="Q759" s="10" t="n"/>
    </row>
    <row r="760">
      <c r="A760" s="11" t="n"/>
      <c r="B760" s="10" t="n"/>
      <c r="C760" s="10" t="n"/>
      <c r="D760" s="14" t="n"/>
      <c r="E760" s="10" t="n"/>
      <c r="F760" s="20">
        <f>IF(OR(A760="",B760=""),"",IF(OR(NOT(ISNUMBER(A760)),ISERROR(N760+O760+P760)),"Проверьте даты",IF(AND(N760&gt;0,P760&gt;1),"Дубль",IF(AND(N760&gt;0,O760&gt;0),O760,"Вне аренды"))))</f>
        <v/>
      </c>
      <c r="G760" s="12">
        <f>IF(ISNUMBER(F760),IFERROR(INDEX(Брони!$C$2:$C$500,MATCH(F760,Брони!$A$2:$A$500,0)),""),"")</f>
        <v/>
      </c>
      <c r="H760" s="10" t="n"/>
      <c r="I760" s="18" t="n"/>
      <c r="J760" s="12">
        <f>IF(AND(ISNUMBER(F760),I760&lt;&gt;""),IFERROR(IF(AND(INDEX(Брони!$F$2:$F$500,MATCH(F760,Брони!$A$2:$A$500,0))="Возвращена",I760&gt;INDEX(Брони!$E$2:$E$500,MATCH(F760,Брони!$A$2:$A$500,0))),"Да",""),""),"")</f>
        <v/>
      </c>
      <c r="K760" s="10" t="n"/>
      <c r="L760" s="14" t="n"/>
      <c r="M760" s="15">
        <f>IF(OR(A760="",B760=""),"",IF(AND(ISNUMBER(F760),H760&lt;&gt;"Компания"),D760+L760,0))</f>
        <v/>
      </c>
      <c r="N760" s="21">
        <f>SUMPRODUCT(MAX((Брони!$B$2:$B$500=B760)*((Брони!$F$2:$F$500="Выдана")+(Брони!$F$2:$F$500="Возвращена"))*(Брони!$D$2:$D$500&lt;=A760)*Брони!$D$2:$D$500))</f>
        <v/>
      </c>
      <c r="O760" s="19">
        <f>SUMPRODUCT((Брони!$B$2:$B$500=B760)*(Брони!$D$2:$D$500=N760)*((((Брони!$F$2:$F$500="Выдана")*NOW())+((Брони!$F$2:$F$500="Возвращена")*Брони!$E$2:$E$500))&gt;=A760)*Брони!$A$2:$A$500)</f>
        <v/>
      </c>
      <c r="P760" s="19">
        <f>SUMPRODUCT((Брони!$B$2:$B$500=B760)*(Брони!$D$2:$D$500=N760)*(((Брони!$F$2:$F$500="Выдана")+(Брони!$F$2:$F$500="Возвращена"))))</f>
        <v/>
      </c>
      <c r="Q760" s="10" t="n"/>
    </row>
    <row r="761">
      <c r="A761" s="11" t="n"/>
      <c r="B761" s="10" t="n"/>
      <c r="C761" s="10" t="n"/>
      <c r="D761" s="14" t="n"/>
      <c r="E761" s="10" t="n"/>
      <c r="F761" s="20">
        <f>IF(OR(A761="",B761=""),"",IF(OR(NOT(ISNUMBER(A761)),ISERROR(N761+O761+P761)),"Проверьте даты",IF(AND(N761&gt;0,P761&gt;1),"Дубль",IF(AND(N761&gt;0,O761&gt;0),O761,"Вне аренды"))))</f>
        <v/>
      </c>
      <c r="G761" s="12">
        <f>IF(ISNUMBER(F761),IFERROR(INDEX(Брони!$C$2:$C$500,MATCH(F761,Брони!$A$2:$A$500,0)),""),"")</f>
        <v/>
      </c>
      <c r="H761" s="10" t="n"/>
      <c r="I761" s="18" t="n"/>
      <c r="J761" s="12">
        <f>IF(AND(ISNUMBER(F761),I761&lt;&gt;""),IFERROR(IF(AND(INDEX(Брони!$F$2:$F$500,MATCH(F761,Брони!$A$2:$A$500,0))="Возвращена",I761&gt;INDEX(Брони!$E$2:$E$500,MATCH(F761,Брони!$A$2:$A$500,0))),"Да",""),""),"")</f>
        <v/>
      </c>
      <c r="K761" s="10" t="n"/>
      <c r="L761" s="14" t="n"/>
      <c r="M761" s="15">
        <f>IF(OR(A761="",B761=""),"",IF(AND(ISNUMBER(F761),H761&lt;&gt;"Компания"),D761+L761,0))</f>
        <v/>
      </c>
      <c r="N761" s="21">
        <f>SUMPRODUCT(MAX((Брони!$B$2:$B$500=B761)*((Брони!$F$2:$F$500="Выдана")+(Брони!$F$2:$F$500="Возвращена"))*(Брони!$D$2:$D$500&lt;=A761)*Брони!$D$2:$D$500))</f>
        <v/>
      </c>
      <c r="O761" s="19">
        <f>SUMPRODUCT((Брони!$B$2:$B$500=B761)*(Брони!$D$2:$D$500=N761)*((((Брони!$F$2:$F$500="Выдана")*NOW())+((Брони!$F$2:$F$500="Возвращена")*Брони!$E$2:$E$500))&gt;=A761)*Брони!$A$2:$A$500)</f>
        <v/>
      </c>
      <c r="P761" s="19">
        <f>SUMPRODUCT((Брони!$B$2:$B$500=B761)*(Брони!$D$2:$D$500=N761)*(((Брони!$F$2:$F$500="Выдана")+(Брони!$F$2:$F$500="Возвращена"))))</f>
        <v/>
      </c>
      <c r="Q761" s="10" t="n"/>
    </row>
    <row r="762">
      <c r="A762" s="11" t="n"/>
      <c r="B762" s="10" t="n"/>
      <c r="C762" s="10" t="n"/>
      <c r="D762" s="14" t="n"/>
      <c r="E762" s="10" t="n"/>
      <c r="F762" s="20">
        <f>IF(OR(A762="",B762=""),"",IF(OR(NOT(ISNUMBER(A762)),ISERROR(N762+O762+P762)),"Проверьте даты",IF(AND(N762&gt;0,P762&gt;1),"Дубль",IF(AND(N762&gt;0,O762&gt;0),O762,"Вне аренды"))))</f>
        <v/>
      </c>
      <c r="G762" s="12">
        <f>IF(ISNUMBER(F762),IFERROR(INDEX(Брони!$C$2:$C$500,MATCH(F762,Брони!$A$2:$A$500,0)),""),"")</f>
        <v/>
      </c>
      <c r="H762" s="10" t="n"/>
      <c r="I762" s="18" t="n"/>
      <c r="J762" s="12">
        <f>IF(AND(ISNUMBER(F762),I762&lt;&gt;""),IFERROR(IF(AND(INDEX(Брони!$F$2:$F$500,MATCH(F762,Брони!$A$2:$A$500,0))="Возвращена",I762&gt;INDEX(Брони!$E$2:$E$500,MATCH(F762,Брони!$A$2:$A$500,0))),"Да",""),""),"")</f>
        <v/>
      </c>
      <c r="K762" s="10" t="n"/>
      <c r="L762" s="14" t="n"/>
      <c r="M762" s="15">
        <f>IF(OR(A762="",B762=""),"",IF(AND(ISNUMBER(F762),H762&lt;&gt;"Компания"),D762+L762,0))</f>
        <v/>
      </c>
      <c r="N762" s="21">
        <f>SUMPRODUCT(MAX((Брони!$B$2:$B$500=B762)*((Брони!$F$2:$F$500="Выдана")+(Брони!$F$2:$F$500="Возвращена"))*(Брони!$D$2:$D$500&lt;=A762)*Брони!$D$2:$D$500))</f>
        <v/>
      </c>
      <c r="O762" s="19">
        <f>SUMPRODUCT((Брони!$B$2:$B$500=B762)*(Брони!$D$2:$D$500=N762)*((((Брони!$F$2:$F$500="Выдана")*NOW())+((Брони!$F$2:$F$500="Возвращена")*Брони!$E$2:$E$500))&gt;=A762)*Брони!$A$2:$A$500)</f>
        <v/>
      </c>
      <c r="P762" s="19">
        <f>SUMPRODUCT((Брони!$B$2:$B$500=B762)*(Брони!$D$2:$D$500=N762)*(((Брони!$F$2:$F$500="Выдана")+(Брони!$F$2:$F$500="Возвращена"))))</f>
        <v/>
      </c>
      <c r="Q762" s="10" t="n"/>
    </row>
    <row r="763">
      <c r="A763" s="11" t="n"/>
      <c r="B763" s="10" t="n"/>
      <c r="C763" s="10" t="n"/>
      <c r="D763" s="14" t="n"/>
      <c r="E763" s="10" t="n"/>
      <c r="F763" s="20">
        <f>IF(OR(A763="",B763=""),"",IF(OR(NOT(ISNUMBER(A763)),ISERROR(N763+O763+P763)),"Проверьте даты",IF(AND(N763&gt;0,P763&gt;1),"Дубль",IF(AND(N763&gt;0,O763&gt;0),O763,"Вне аренды"))))</f>
        <v/>
      </c>
      <c r="G763" s="12">
        <f>IF(ISNUMBER(F763),IFERROR(INDEX(Брони!$C$2:$C$500,MATCH(F763,Брони!$A$2:$A$500,0)),""),"")</f>
        <v/>
      </c>
      <c r="H763" s="10" t="n"/>
      <c r="I763" s="18" t="n"/>
      <c r="J763" s="12">
        <f>IF(AND(ISNUMBER(F763),I763&lt;&gt;""),IFERROR(IF(AND(INDEX(Брони!$F$2:$F$500,MATCH(F763,Брони!$A$2:$A$500,0))="Возвращена",I763&gt;INDEX(Брони!$E$2:$E$500,MATCH(F763,Брони!$A$2:$A$500,0))),"Да",""),""),"")</f>
        <v/>
      </c>
      <c r="K763" s="10" t="n"/>
      <c r="L763" s="14" t="n"/>
      <c r="M763" s="15">
        <f>IF(OR(A763="",B763=""),"",IF(AND(ISNUMBER(F763),H763&lt;&gt;"Компания"),D763+L763,0))</f>
        <v/>
      </c>
      <c r="N763" s="21">
        <f>SUMPRODUCT(MAX((Брони!$B$2:$B$500=B763)*((Брони!$F$2:$F$500="Выдана")+(Брони!$F$2:$F$500="Возвращена"))*(Брони!$D$2:$D$500&lt;=A763)*Брони!$D$2:$D$500))</f>
        <v/>
      </c>
      <c r="O763" s="19">
        <f>SUMPRODUCT((Брони!$B$2:$B$500=B763)*(Брони!$D$2:$D$500=N763)*((((Брони!$F$2:$F$500="Выдана")*NOW())+((Брони!$F$2:$F$500="Возвращена")*Брони!$E$2:$E$500))&gt;=A763)*Брони!$A$2:$A$500)</f>
        <v/>
      </c>
      <c r="P763" s="19">
        <f>SUMPRODUCT((Брони!$B$2:$B$500=B763)*(Брони!$D$2:$D$500=N763)*(((Брони!$F$2:$F$500="Выдана")+(Брони!$F$2:$F$500="Возвращена"))))</f>
        <v/>
      </c>
      <c r="Q763" s="10" t="n"/>
    </row>
    <row r="764">
      <c r="A764" s="11" t="n"/>
      <c r="B764" s="10" t="n"/>
      <c r="C764" s="10" t="n"/>
      <c r="D764" s="14" t="n"/>
      <c r="E764" s="10" t="n"/>
      <c r="F764" s="20">
        <f>IF(OR(A764="",B764=""),"",IF(OR(NOT(ISNUMBER(A764)),ISERROR(N764+O764+P764)),"Проверьте даты",IF(AND(N764&gt;0,P764&gt;1),"Дубль",IF(AND(N764&gt;0,O764&gt;0),O764,"Вне аренды"))))</f>
        <v/>
      </c>
      <c r="G764" s="12">
        <f>IF(ISNUMBER(F764),IFERROR(INDEX(Брони!$C$2:$C$500,MATCH(F764,Брони!$A$2:$A$500,0)),""),"")</f>
        <v/>
      </c>
      <c r="H764" s="10" t="n"/>
      <c r="I764" s="18" t="n"/>
      <c r="J764" s="12">
        <f>IF(AND(ISNUMBER(F764),I764&lt;&gt;""),IFERROR(IF(AND(INDEX(Брони!$F$2:$F$500,MATCH(F764,Брони!$A$2:$A$500,0))="Возвращена",I764&gt;INDEX(Брони!$E$2:$E$500,MATCH(F764,Брони!$A$2:$A$500,0))),"Да",""),""),"")</f>
        <v/>
      </c>
      <c r="K764" s="10" t="n"/>
      <c r="L764" s="14" t="n"/>
      <c r="M764" s="15">
        <f>IF(OR(A764="",B764=""),"",IF(AND(ISNUMBER(F764),H764&lt;&gt;"Компания"),D764+L764,0))</f>
        <v/>
      </c>
      <c r="N764" s="21">
        <f>SUMPRODUCT(MAX((Брони!$B$2:$B$500=B764)*((Брони!$F$2:$F$500="Выдана")+(Брони!$F$2:$F$500="Возвращена"))*(Брони!$D$2:$D$500&lt;=A764)*Брони!$D$2:$D$500))</f>
        <v/>
      </c>
      <c r="O764" s="19">
        <f>SUMPRODUCT((Брони!$B$2:$B$500=B764)*(Брони!$D$2:$D$500=N764)*((((Брони!$F$2:$F$500="Выдана")*NOW())+((Брони!$F$2:$F$500="Возвращена")*Брони!$E$2:$E$500))&gt;=A764)*Брони!$A$2:$A$500)</f>
        <v/>
      </c>
      <c r="P764" s="19">
        <f>SUMPRODUCT((Брони!$B$2:$B$500=B764)*(Брони!$D$2:$D$500=N764)*(((Брони!$F$2:$F$500="Выдана")+(Брони!$F$2:$F$500="Возвращена"))))</f>
        <v/>
      </c>
      <c r="Q764" s="10" t="n"/>
    </row>
    <row r="765">
      <c r="A765" s="11" t="n"/>
      <c r="B765" s="10" t="n"/>
      <c r="C765" s="10" t="n"/>
      <c r="D765" s="14" t="n"/>
      <c r="E765" s="10" t="n"/>
      <c r="F765" s="20">
        <f>IF(OR(A765="",B765=""),"",IF(OR(NOT(ISNUMBER(A765)),ISERROR(N765+O765+P765)),"Проверьте даты",IF(AND(N765&gt;0,P765&gt;1),"Дубль",IF(AND(N765&gt;0,O765&gt;0),O765,"Вне аренды"))))</f>
        <v/>
      </c>
      <c r="G765" s="12">
        <f>IF(ISNUMBER(F765),IFERROR(INDEX(Брони!$C$2:$C$500,MATCH(F765,Брони!$A$2:$A$500,0)),""),"")</f>
        <v/>
      </c>
      <c r="H765" s="10" t="n"/>
      <c r="I765" s="18" t="n"/>
      <c r="J765" s="12">
        <f>IF(AND(ISNUMBER(F765),I765&lt;&gt;""),IFERROR(IF(AND(INDEX(Брони!$F$2:$F$500,MATCH(F765,Брони!$A$2:$A$500,0))="Возвращена",I765&gt;INDEX(Брони!$E$2:$E$500,MATCH(F765,Брони!$A$2:$A$500,0))),"Да",""),""),"")</f>
        <v/>
      </c>
      <c r="K765" s="10" t="n"/>
      <c r="L765" s="14" t="n"/>
      <c r="M765" s="15">
        <f>IF(OR(A765="",B765=""),"",IF(AND(ISNUMBER(F765),H765&lt;&gt;"Компания"),D765+L765,0))</f>
        <v/>
      </c>
      <c r="N765" s="21">
        <f>SUMPRODUCT(MAX((Брони!$B$2:$B$500=B765)*((Брони!$F$2:$F$500="Выдана")+(Брони!$F$2:$F$500="Возвращена"))*(Брони!$D$2:$D$500&lt;=A765)*Брони!$D$2:$D$500))</f>
        <v/>
      </c>
      <c r="O765" s="19">
        <f>SUMPRODUCT((Брони!$B$2:$B$500=B765)*(Брони!$D$2:$D$500=N765)*((((Брони!$F$2:$F$500="Выдана")*NOW())+((Брони!$F$2:$F$500="Возвращена")*Брони!$E$2:$E$500))&gt;=A765)*Брони!$A$2:$A$500)</f>
        <v/>
      </c>
      <c r="P765" s="19">
        <f>SUMPRODUCT((Брони!$B$2:$B$500=B765)*(Брони!$D$2:$D$500=N765)*(((Брони!$F$2:$F$500="Выдана")+(Брони!$F$2:$F$500="Возвращена"))))</f>
        <v/>
      </c>
      <c r="Q765" s="10" t="n"/>
    </row>
    <row r="766">
      <c r="A766" s="11" t="n"/>
      <c r="B766" s="10" t="n"/>
      <c r="C766" s="10" t="n"/>
      <c r="D766" s="14" t="n"/>
      <c r="E766" s="10" t="n"/>
      <c r="F766" s="20">
        <f>IF(OR(A766="",B766=""),"",IF(OR(NOT(ISNUMBER(A766)),ISERROR(N766+O766+P766)),"Проверьте даты",IF(AND(N766&gt;0,P766&gt;1),"Дубль",IF(AND(N766&gt;0,O766&gt;0),O766,"Вне аренды"))))</f>
        <v/>
      </c>
      <c r="G766" s="12">
        <f>IF(ISNUMBER(F766),IFERROR(INDEX(Брони!$C$2:$C$500,MATCH(F766,Брони!$A$2:$A$500,0)),""),"")</f>
        <v/>
      </c>
      <c r="H766" s="10" t="n"/>
      <c r="I766" s="18" t="n"/>
      <c r="J766" s="12">
        <f>IF(AND(ISNUMBER(F766),I766&lt;&gt;""),IFERROR(IF(AND(INDEX(Брони!$F$2:$F$500,MATCH(F766,Брони!$A$2:$A$500,0))="Возвращена",I766&gt;INDEX(Брони!$E$2:$E$500,MATCH(F766,Брони!$A$2:$A$500,0))),"Да",""),""),"")</f>
        <v/>
      </c>
      <c r="K766" s="10" t="n"/>
      <c r="L766" s="14" t="n"/>
      <c r="M766" s="15">
        <f>IF(OR(A766="",B766=""),"",IF(AND(ISNUMBER(F766),H766&lt;&gt;"Компания"),D766+L766,0))</f>
        <v/>
      </c>
      <c r="N766" s="21">
        <f>SUMPRODUCT(MAX((Брони!$B$2:$B$500=B766)*((Брони!$F$2:$F$500="Выдана")+(Брони!$F$2:$F$500="Возвращена"))*(Брони!$D$2:$D$500&lt;=A766)*Брони!$D$2:$D$500))</f>
        <v/>
      </c>
      <c r="O766" s="19">
        <f>SUMPRODUCT((Брони!$B$2:$B$500=B766)*(Брони!$D$2:$D$500=N766)*((((Брони!$F$2:$F$500="Выдана")*NOW())+((Брони!$F$2:$F$500="Возвращена")*Брони!$E$2:$E$500))&gt;=A766)*Брони!$A$2:$A$500)</f>
        <v/>
      </c>
      <c r="P766" s="19">
        <f>SUMPRODUCT((Брони!$B$2:$B$500=B766)*(Брони!$D$2:$D$500=N766)*(((Брони!$F$2:$F$500="Выдана")+(Брони!$F$2:$F$500="Возвращена"))))</f>
        <v/>
      </c>
      <c r="Q766" s="10" t="n"/>
    </row>
    <row r="767">
      <c r="A767" s="11" t="n"/>
      <c r="B767" s="10" t="n"/>
      <c r="C767" s="10" t="n"/>
      <c r="D767" s="14" t="n"/>
      <c r="E767" s="10" t="n"/>
      <c r="F767" s="20">
        <f>IF(OR(A767="",B767=""),"",IF(OR(NOT(ISNUMBER(A767)),ISERROR(N767+O767+P767)),"Проверьте даты",IF(AND(N767&gt;0,P767&gt;1),"Дубль",IF(AND(N767&gt;0,O767&gt;0),O767,"Вне аренды"))))</f>
        <v/>
      </c>
      <c r="G767" s="12">
        <f>IF(ISNUMBER(F767),IFERROR(INDEX(Брони!$C$2:$C$500,MATCH(F767,Брони!$A$2:$A$500,0)),""),"")</f>
        <v/>
      </c>
      <c r="H767" s="10" t="n"/>
      <c r="I767" s="18" t="n"/>
      <c r="J767" s="12">
        <f>IF(AND(ISNUMBER(F767),I767&lt;&gt;""),IFERROR(IF(AND(INDEX(Брони!$F$2:$F$500,MATCH(F767,Брони!$A$2:$A$500,0))="Возвращена",I767&gt;INDEX(Брони!$E$2:$E$500,MATCH(F767,Брони!$A$2:$A$500,0))),"Да",""),""),"")</f>
        <v/>
      </c>
      <c r="K767" s="10" t="n"/>
      <c r="L767" s="14" t="n"/>
      <c r="M767" s="15">
        <f>IF(OR(A767="",B767=""),"",IF(AND(ISNUMBER(F767),H767&lt;&gt;"Компания"),D767+L767,0))</f>
        <v/>
      </c>
      <c r="N767" s="21">
        <f>SUMPRODUCT(MAX((Брони!$B$2:$B$500=B767)*((Брони!$F$2:$F$500="Выдана")+(Брони!$F$2:$F$500="Возвращена"))*(Брони!$D$2:$D$500&lt;=A767)*Брони!$D$2:$D$500))</f>
        <v/>
      </c>
      <c r="O767" s="19">
        <f>SUMPRODUCT((Брони!$B$2:$B$500=B767)*(Брони!$D$2:$D$500=N767)*((((Брони!$F$2:$F$500="Выдана")*NOW())+((Брони!$F$2:$F$500="Возвращена")*Брони!$E$2:$E$500))&gt;=A767)*Брони!$A$2:$A$500)</f>
        <v/>
      </c>
      <c r="P767" s="19">
        <f>SUMPRODUCT((Брони!$B$2:$B$500=B767)*(Брони!$D$2:$D$500=N767)*(((Брони!$F$2:$F$500="Выдана")+(Брони!$F$2:$F$500="Возвращена"))))</f>
        <v/>
      </c>
      <c r="Q767" s="10" t="n"/>
    </row>
    <row r="768">
      <c r="A768" s="11" t="n"/>
      <c r="B768" s="10" t="n"/>
      <c r="C768" s="10" t="n"/>
      <c r="D768" s="14" t="n"/>
      <c r="E768" s="10" t="n"/>
      <c r="F768" s="20">
        <f>IF(OR(A768="",B768=""),"",IF(OR(NOT(ISNUMBER(A768)),ISERROR(N768+O768+P768)),"Проверьте даты",IF(AND(N768&gt;0,P768&gt;1),"Дубль",IF(AND(N768&gt;0,O768&gt;0),O768,"Вне аренды"))))</f>
        <v/>
      </c>
      <c r="G768" s="12">
        <f>IF(ISNUMBER(F768),IFERROR(INDEX(Брони!$C$2:$C$500,MATCH(F768,Брони!$A$2:$A$500,0)),""),"")</f>
        <v/>
      </c>
      <c r="H768" s="10" t="n"/>
      <c r="I768" s="18" t="n"/>
      <c r="J768" s="12">
        <f>IF(AND(ISNUMBER(F768),I768&lt;&gt;""),IFERROR(IF(AND(INDEX(Брони!$F$2:$F$500,MATCH(F768,Брони!$A$2:$A$500,0))="Возвращена",I768&gt;INDEX(Брони!$E$2:$E$500,MATCH(F768,Брони!$A$2:$A$500,0))),"Да",""),""),"")</f>
        <v/>
      </c>
      <c r="K768" s="10" t="n"/>
      <c r="L768" s="14" t="n"/>
      <c r="M768" s="15">
        <f>IF(OR(A768="",B768=""),"",IF(AND(ISNUMBER(F768),H768&lt;&gt;"Компания"),D768+L768,0))</f>
        <v/>
      </c>
      <c r="N768" s="21">
        <f>SUMPRODUCT(MAX((Брони!$B$2:$B$500=B768)*((Брони!$F$2:$F$500="Выдана")+(Брони!$F$2:$F$500="Возвращена"))*(Брони!$D$2:$D$500&lt;=A768)*Брони!$D$2:$D$500))</f>
        <v/>
      </c>
      <c r="O768" s="19">
        <f>SUMPRODUCT((Брони!$B$2:$B$500=B768)*(Брони!$D$2:$D$500=N768)*((((Брони!$F$2:$F$500="Выдана")*NOW())+((Брони!$F$2:$F$500="Возвращена")*Брони!$E$2:$E$500))&gt;=A768)*Брони!$A$2:$A$500)</f>
        <v/>
      </c>
      <c r="P768" s="19">
        <f>SUMPRODUCT((Брони!$B$2:$B$500=B768)*(Брони!$D$2:$D$500=N768)*(((Брони!$F$2:$F$500="Выдана")+(Брони!$F$2:$F$500="Возвращена"))))</f>
        <v/>
      </c>
      <c r="Q768" s="10" t="n"/>
    </row>
    <row r="769">
      <c r="A769" s="11" t="n"/>
      <c r="B769" s="10" t="n"/>
      <c r="C769" s="10" t="n"/>
      <c r="D769" s="14" t="n"/>
      <c r="E769" s="10" t="n"/>
      <c r="F769" s="20">
        <f>IF(OR(A769="",B769=""),"",IF(OR(NOT(ISNUMBER(A769)),ISERROR(N769+O769+P769)),"Проверьте даты",IF(AND(N769&gt;0,P769&gt;1),"Дубль",IF(AND(N769&gt;0,O769&gt;0),O769,"Вне аренды"))))</f>
        <v/>
      </c>
      <c r="G769" s="12">
        <f>IF(ISNUMBER(F769),IFERROR(INDEX(Брони!$C$2:$C$500,MATCH(F769,Брони!$A$2:$A$500,0)),""),"")</f>
        <v/>
      </c>
      <c r="H769" s="10" t="n"/>
      <c r="I769" s="18" t="n"/>
      <c r="J769" s="12">
        <f>IF(AND(ISNUMBER(F769),I769&lt;&gt;""),IFERROR(IF(AND(INDEX(Брони!$F$2:$F$500,MATCH(F769,Брони!$A$2:$A$500,0))="Возвращена",I769&gt;INDEX(Брони!$E$2:$E$500,MATCH(F769,Брони!$A$2:$A$500,0))),"Да",""),""),"")</f>
        <v/>
      </c>
      <c r="K769" s="10" t="n"/>
      <c r="L769" s="14" t="n"/>
      <c r="M769" s="15">
        <f>IF(OR(A769="",B769=""),"",IF(AND(ISNUMBER(F769),H769&lt;&gt;"Компания"),D769+L769,0))</f>
        <v/>
      </c>
      <c r="N769" s="21">
        <f>SUMPRODUCT(MAX((Брони!$B$2:$B$500=B769)*((Брони!$F$2:$F$500="Выдана")+(Брони!$F$2:$F$500="Возвращена"))*(Брони!$D$2:$D$500&lt;=A769)*Брони!$D$2:$D$500))</f>
        <v/>
      </c>
      <c r="O769" s="19">
        <f>SUMPRODUCT((Брони!$B$2:$B$500=B769)*(Брони!$D$2:$D$500=N769)*((((Брони!$F$2:$F$500="Выдана")*NOW())+((Брони!$F$2:$F$500="Возвращена")*Брони!$E$2:$E$500))&gt;=A769)*Брони!$A$2:$A$500)</f>
        <v/>
      </c>
      <c r="P769" s="19">
        <f>SUMPRODUCT((Брони!$B$2:$B$500=B769)*(Брони!$D$2:$D$500=N769)*(((Брони!$F$2:$F$500="Выдана")+(Брони!$F$2:$F$500="Возвращена"))))</f>
        <v/>
      </c>
      <c r="Q769" s="10" t="n"/>
    </row>
    <row r="770">
      <c r="A770" s="11" t="n"/>
      <c r="B770" s="10" t="n"/>
      <c r="C770" s="10" t="n"/>
      <c r="D770" s="14" t="n"/>
      <c r="E770" s="10" t="n"/>
      <c r="F770" s="20">
        <f>IF(OR(A770="",B770=""),"",IF(OR(NOT(ISNUMBER(A770)),ISERROR(N770+O770+P770)),"Проверьте даты",IF(AND(N770&gt;0,P770&gt;1),"Дубль",IF(AND(N770&gt;0,O770&gt;0),O770,"Вне аренды"))))</f>
        <v/>
      </c>
      <c r="G770" s="12">
        <f>IF(ISNUMBER(F770),IFERROR(INDEX(Брони!$C$2:$C$500,MATCH(F770,Брони!$A$2:$A$500,0)),""),"")</f>
        <v/>
      </c>
      <c r="H770" s="10" t="n"/>
      <c r="I770" s="18" t="n"/>
      <c r="J770" s="12">
        <f>IF(AND(ISNUMBER(F770),I770&lt;&gt;""),IFERROR(IF(AND(INDEX(Брони!$F$2:$F$500,MATCH(F770,Брони!$A$2:$A$500,0))="Возвращена",I770&gt;INDEX(Брони!$E$2:$E$500,MATCH(F770,Брони!$A$2:$A$500,0))),"Да",""),""),"")</f>
        <v/>
      </c>
      <c r="K770" s="10" t="n"/>
      <c r="L770" s="14" t="n"/>
      <c r="M770" s="15">
        <f>IF(OR(A770="",B770=""),"",IF(AND(ISNUMBER(F770),H770&lt;&gt;"Компания"),D770+L770,0))</f>
        <v/>
      </c>
      <c r="N770" s="21">
        <f>SUMPRODUCT(MAX((Брони!$B$2:$B$500=B770)*((Брони!$F$2:$F$500="Выдана")+(Брони!$F$2:$F$500="Возвращена"))*(Брони!$D$2:$D$500&lt;=A770)*Брони!$D$2:$D$500))</f>
        <v/>
      </c>
      <c r="O770" s="19">
        <f>SUMPRODUCT((Брони!$B$2:$B$500=B770)*(Брони!$D$2:$D$500=N770)*((((Брони!$F$2:$F$500="Выдана")*NOW())+((Брони!$F$2:$F$500="Возвращена")*Брони!$E$2:$E$500))&gt;=A770)*Брони!$A$2:$A$500)</f>
        <v/>
      </c>
      <c r="P770" s="19">
        <f>SUMPRODUCT((Брони!$B$2:$B$500=B770)*(Брони!$D$2:$D$500=N770)*(((Брони!$F$2:$F$500="Выдана")+(Брони!$F$2:$F$500="Возвращена"))))</f>
        <v/>
      </c>
      <c r="Q770" s="10" t="n"/>
    </row>
    <row r="771">
      <c r="A771" s="11" t="n"/>
      <c r="B771" s="10" t="n"/>
      <c r="C771" s="10" t="n"/>
      <c r="D771" s="14" t="n"/>
      <c r="E771" s="10" t="n"/>
      <c r="F771" s="20">
        <f>IF(OR(A771="",B771=""),"",IF(OR(NOT(ISNUMBER(A771)),ISERROR(N771+O771+P771)),"Проверьте даты",IF(AND(N771&gt;0,P771&gt;1),"Дубль",IF(AND(N771&gt;0,O771&gt;0),O771,"Вне аренды"))))</f>
        <v/>
      </c>
      <c r="G771" s="12">
        <f>IF(ISNUMBER(F771),IFERROR(INDEX(Брони!$C$2:$C$500,MATCH(F771,Брони!$A$2:$A$500,0)),""),"")</f>
        <v/>
      </c>
      <c r="H771" s="10" t="n"/>
      <c r="I771" s="18" t="n"/>
      <c r="J771" s="12">
        <f>IF(AND(ISNUMBER(F771),I771&lt;&gt;""),IFERROR(IF(AND(INDEX(Брони!$F$2:$F$500,MATCH(F771,Брони!$A$2:$A$500,0))="Возвращена",I771&gt;INDEX(Брони!$E$2:$E$500,MATCH(F771,Брони!$A$2:$A$500,0))),"Да",""),""),"")</f>
        <v/>
      </c>
      <c r="K771" s="10" t="n"/>
      <c r="L771" s="14" t="n"/>
      <c r="M771" s="15">
        <f>IF(OR(A771="",B771=""),"",IF(AND(ISNUMBER(F771),H771&lt;&gt;"Компания"),D771+L771,0))</f>
        <v/>
      </c>
      <c r="N771" s="21">
        <f>SUMPRODUCT(MAX((Брони!$B$2:$B$500=B771)*((Брони!$F$2:$F$500="Выдана")+(Брони!$F$2:$F$500="Возвращена"))*(Брони!$D$2:$D$500&lt;=A771)*Брони!$D$2:$D$500))</f>
        <v/>
      </c>
      <c r="O771" s="19">
        <f>SUMPRODUCT((Брони!$B$2:$B$500=B771)*(Брони!$D$2:$D$500=N771)*((((Брони!$F$2:$F$500="Выдана")*NOW())+((Брони!$F$2:$F$500="Возвращена")*Брони!$E$2:$E$500))&gt;=A771)*Брони!$A$2:$A$500)</f>
        <v/>
      </c>
      <c r="P771" s="19">
        <f>SUMPRODUCT((Брони!$B$2:$B$500=B771)*(Брони!$D$2:$D$500=N771)*(((Брони!$F$2:$F$500="Выдана")+(Брони!$F$2:$F$500="Возвращена"))))</f>
        <v/>
      </c>
      <c r="Q771" s="10" t="n"/>
    </row>
    <row r="772">
      <c r="A772" s="11" t="n"/>
      <c r="B772" s="10" t="n"/>
      <c r="C772" s="10" t="n"/>
      <c r="D772" s="14" t="n"/>
      <c r="E772" s="10" t="n"/>
      <c r="F772" s="20">
        <f>IF(OR(A772="",B772=""),"",IF(OR(NOT(ISNUMBER(A772)),ISERROR(N772+O772+P772)),"Проверьте даты",IF(AND(N772&gt;0,P772&gt;1),"Дубль",IF(AND(N772&gt;0,O772&gt;0),O772,"Вне аренды"))))</f>
        <v/>
      </c>
      <c r="G772" s="12">
        <f>IF(ISNUMBER(F772),IFERROR(INDEX(Брони!$C$2:$C$500,MATCH(F772,Брони!$A$2:$A$500,0)),""),"")</f>
        <v/>
      </c>
      <c r="H772" s="10" t="n"/>
      <c r="I772" s="18" t="n"/>
      <c r="J772" s="12">
        <f>IF(AND(ISNUMBER(F772),I772&lt;&gt;""),IFERROR(IF(AND(INDEX(Брони!$F$2:$F$500,MATCH(F772,Брони!$A$2:$A$500,0))="Возвращена",I772&gt;INDEX(Брони!$E$2:$E$500,MATCH(F772,Брони!$A$2:$A$500,0))),"Да",""),""),"")</f>
        <v/>
      </c>
      <c r="K772" s="10" t="n"/>
      <c r="L772" s="14" t="n"/>
      <c r="M772" s="15">
        <f>IF(OR(A772="",B772=""),"",IF(AND(ISNUMBER(F772),H772&lt;&gt;"Компания"),D772+L772,0))</f>
        <v/>
      </c>
      <c r="N772" s="21">
        <f>SUMPRODUCT(MAX((Брони!$B$2:$B$500=B772)*((Брони!$F$2:$F$500="Выдана")+(Брони!$F$2:$F$500="Возвращена"))*(Брони!$D$2:$D$500&lt;=A772)*Брони!$D$2:$D$500))</f>
        <v/>
      </c>
      <c r="O772" s="19">
        <f>SUMPRODUCT((Брони!$B$2:$B$500=B772)*(Брони!$D$2:$D$500=N772)*((((Брони!$F$2:$F$500="Выдана")*NOW())+((Брони!$F$2:$F$500="Возвращена")*Брони!$E$2:$E$500))&gt;=A772)*Брони!$A$2:$A$500)</f>
        <v/>
      </c>
      <c r="P772" s="19">
        <f>SUMPRODUCT((Брони!$B$2:$B$500=B772)*(Брони!$D$2:$D$500=N772)*(((Брони!$F$2:$F$500="Выдана")+(Брони!$F$2:$F$500="Возвращена"))))</f>
        <v/>
      </c>
      <c r="Q772" s="10" t="n"/>
    </row>
    <row r="773">
      <c r="A773" s="11" t="n"/>
      <c r="B773" s="10" t="n"/>
      <c r="C773" s="10" t="n"/>
      <c r="D773" s="14" t="n"/>
      <c r="E773" s="10" t="n"/>
      <c r="F773" s="20">
        <f>IF(OR(A773="",B773=""),"",IF(OR(NOT(ISNUMBER(A773)),ISERROR(N773+O773+P773)),"Проверьте даты",IF(AND(N773&gt;0,P773&gt;1),"Дубль",IF(AND(N773&gt;0,O773&gt;0),O773,"Вне аренды"))))</f>
        <v/>
      </c>
      <c r="G773" s="12">
        <f>IF(ISNUMBER(F773),IFERROR(INDEX(Брони!$C$2:$C$500,MATCH(F773,Брони!$A$2:$A$500,0)),""),"")</f>
        <v/>
      </c>
      <c r="H773" s="10" t="n"/>
      <c r="I773" s="18" t="n"/>
      <c r="J773" s="12">
        <f>IF(AND(ISNUMBER(F773),I773&lt;&gt;""),IFERROR(IF(AND(INDEX(Брони!$F$2:$F$500,MATCH(F773,Брони!$A$2:$A$500,0))="Возвращена",I773&gt;INDEX(Брони!$E$2:$E$500,MATCH(F773,Брони!$A$2:$A$500,0))),"Да",""),""),"")</f>
        <v/>
      </c>
      <c r="K773" s="10" t="n"/>
      <c r="L773" s="14" t="n"/>
      <c r="M773" s="15">
        <f>IF(OR(A773="",B773=""),"",IF(AND(ISNUMBER(F773),H773&lt;&gt;"Компания"),D773+L773,0))</f>
        <v/>
      </c>
      <c r="N773" s="21">
        <f>SUMPRODUCT(MAX((Брони!$B$2:$B$500=B773)*((Брони!$F$2:$F$500="Выдана")+(Брони!$F$2:$F$500="Возвращена"))*(Брони!$D$2:$D$500&lt;=A773)*Брони!$D$2:$D$500))</f>
        <v/>
      </c>
      <c r="O773" s="19">
        <f>SUMPRODUCT((Брони!$B$2:$B$500=B773)*(Брони!$D$2:$D$500=N773)*((((Брони!$F$2:$F$500="Выдана")*NOW())+((Брони!$F$2:$F$500="Возвращена")*Брони!$E$2:$E$500))&gt;=A773)*Брони!$A$2:$A$500)</f>
        <v/>
      </c>
      <c r="P773" s="19">
        <f>SUMPRODUCT((Брони!$B$2:$B$500=B773)*(Брони!$D$2:$D$500=N773)*(((Брони!$F$2:$F$500="Выдана")+(Брони!$F$2:$F$500="Возвращена"))))</f>
        <v/>
      </c>
      <c r="Q773" s="10" t="n"/>
    </row>
    <row r="774">
      <c r="A774" s="11" t="n"/>
      <c r="B774" s="10" t="n"/>
      <c r="C774" s="10" t="n"/>
      <c r="D774" s="14" t="n"/>
      <c r="E774" s="10" t="n"/>
      <c r="F774" s="20">
        <f>IF(OR(A774="",B774=""),"",IF(OR(NOT(ISNUMBER(A774)),ISERROR(N774+O774+P774)),"Проверьте даты",IF(AND(N774&gt;0,P774&gt;1),"Дубль",IF(AND(N774&gt;0,O774&gt;0),O774,"Вне аренды"))))</f>
        <v/>
      </c>
      <c r="G774" s="12">
        <f>IF(ISNUMBER(F774),IFERROR(INDEX(Брони!$C$2:$C$500,MATCH(F774,Брони!$A$2:$A$500,0)),""),"")</f>
        <v/>
      </c>
      <c r="H774" s="10" t="n"/>
      <c r="I774" s="18" t="n"/>
      <c r="J774" s="12">
        <f>IF(AND(ISNUMBER(F774),I774&lt;&gt;""),IFERROR(IF(AND(INDEX(Брони!$F$2:$F$500,MATCH(F774,Брони!$A$2:$A$500,0))="Возвращена",I774&gt;INDEX(Брони!$E$2:$E$500,MATCH(F774,Брони!$A$2:$A$500,0))),"Да",""),""),"")</f>
        <v/>
      </c>
      <c r="K774" s="10" t="n"/>
      <c r="L774" s="14" t="n"/>
      <c r="M774" s="15">
        <f>IF(OR(A774="",B774=""),"",IF(AND(ISNUMBER(F774),H774&lt;&gt;"Компания"),D774+L774,0))</f>
        <v/>
      </c>
      <c r="N774" s="21">
        <f>SUMPRODUCT(MAX((Брони!$B$2:$B$500=B774)*((Брони!$F$2:$F$500="Выдана")+(Брони!$F$2:$F$500="Возвращена"))*(Брони!$D$2:$D$500&lt;=A774)*Брони!$D$2:$D$500))</f>
        <v/>
      </c>
      <c r="O774" s="19">
        <f>SUMPRODUCT((Брони!$B$2:$B$500=B774)*(Брони!$D$2:$D$500=N774)*((((Брони!$F$2:$F$500="Выдана")*NOW())+((Брони!$F$2:$F$500="Возвращена")*Брони!$E$2:$E$500))&gt;=A774)*Брони!$A$2:$A$500)</f>
        <v/>
      </c>
      <c r="P774" s="19">
        <f>SUMPRODUCT((Брони!$B$2:$B$500=B774)*(Брони!$D$2:$D$500=N774)*(((Брони!$F$2:$F$500="Выдана")+(Брони!$F$2:$F$500="Возвращена"))))</f>
        <v/>
      </c>
      <c r="Q774" s="10" t="n"/>
    </row>
    <row r="775">
      <c r="A775" s="11" t="n"/>
      <c r="B775" s="10" t="n"/>
      <c r="C775" s="10" t="n"/>
      <c r="D775" s="14" t="n"/>
      <c r="E775" s="10" t="n"/>
      <c r="F775" s="20">
        <f>IF(OR(A775="",B775=""),"",IF(OR(NOT(ISNUMBER(A775)),ISERROR(N775+O775+P775)),"Проверьте даты",IF(AND(N775&gt;0,P775&gt;1),"Дубль",IF(AND(N775&gt;0,O775&gt;0),O775,"Вне аренды"))))</f>
        <v/>
      </c>
      <c r="G775" s="12">
        <f>IF(ISNUMBER(F775),IFERROR(INDEX(Брони!$C$2:$C$500,MATCH(F775,Брони!$A$2:$A$500,0)),""),"")</f>
        <v/>
      </c>
      <c r="H775" s="10" t="n"/>
      <c r="I775" s="18" t="n"/>
      <c r="J775" s="12">
        <f>IF(AND(ISNUMBER(F775),I775&lt;&gt;""),IFERROR(IF(AND(INDEX(Брони!$F$2:$F$500,MATCH(F775,Брони!$A$2:$A$500,0))="Возвращена",I775&gt;INDEX(Брони!$E$2:$E$500,MATCH(F775,Брони!$A$2:$A$500,0))),"Да",""),""),"")</f>
        <v/>
      </c>
      <c r="K775" s="10" t="n"/>
      <c r="L775" s="14" t="n"/>
      <c r="M775" s="15">
        <f>IF(OR(A775="",B775=""),"",IF(AND(ISNUMBER(F775),H775&lt;&gt;"Компания"),D775+L775,0))</f>
        <v/>
      </c>
      <c r="N775" s="21">
        <f>SUMPRODUCT(MAX((Брони!$B$2:$B$500=B775)*((Брони!$F$2:$F$500="Выдана")+(Брони!$F$2:$F$500="Возвращена"))*(Брони!$D$2:$D$500&lt;=A775)*Брони!$D$2:$D$500))</f>
        <v/>
      </c>
      <c r="O775" s="19">
        <f>SUMPRODUCT((Брони!$B$2:$B$500=B775)*(Брони!$D$2:$D$500=N775)*((((Брони!$F$2:$F$500="Выдана")*NOW())+((Брони!$F$2:$F$500="Возвращена")*Брони!$E$2:$E$500))&gt;=A775)*Брони!$A$2:$A$500)</f>
        <v/>
      </c>
      <c r="P775" s="19">
        <f>SUMPRODUCT((Брони!$B$2:$B$500=B775)*(Брони!$D$2:$D$500=N775)*(((Брони!$F$2:$F$500="Выдана")+(Брони!$F$2:$F$500="Возвращена"))))</f>
        <v/>
      </c>
      <c r="Q775" s="10" t="n"/>
    </row>
    <row r="776">
      <c r="A776" s="11" t="n"/>
      <c r="B776" s="10" t="n"/>
      <c r="C776" s="10" t="n"/>
      <c r="D776" s="14" t="n"/>
      <c r="E776" s="10" t="n"/>
      <c r="F776" s="20">
        <f>IF(OR(A776="",B776=""),"",IF(OR(NOT(ISNUMBER(A776)),ISERROR(N776+O776+P776)),"Проверьте даты",IF(AND(N776&gt;0,P776&gt;1),"Дубль",IF(AND(N776&gt;0,O776&gt;0),O776,"Вне аренды"))))</f>
        <v/>
      </c>
      <c r="G776" s="12">
        <f>IF(ISNUMBER(F776),IFERROR(INDEX(Брони!$C$2:$C$500,MATCH(F776,Брони!$A$2:$A$500,0)),""),"")</f>
        <v/>
      </c>
      <c r="H776" s="10" t="n"/>
      <c r="I776" s="18" t="n"/>
      <c r="J776" s="12">
        <f>IF(AND(ISNUMBER(F776),I776&lt;&gt;""),IFERROR(IF(AND(INDEX(Брони!$F$2:$F$500,MATCH(F776,Брони!$A$2:$A$500,0))="Возвращена",I776&gt;INDEX(Брони!$E$2:$E$500,MATCH(F776,Брони!$A$2:$A$500,0))),"Да",""),""),"")</f>
        <v/>
      </c>
      <c r="K776" s="10" t="n"/>
      <c r="L776" s="14" t="n"/>
      <c r="M776" s="15">
        <f>IF(OR(A776="",B776=""),"",IF(AND(ISNUMBER(F776),H776&lt;&gt;"Компания"),D776+L776,0))</f>
        <v/>
      </c>
      <c r="N776" s="21">
        <f>SUMPRODUCT(MAX((Брони!$B$2:$B$500=B776)*((Брони!$F$2:$F$500="Выдана")+(Брони!$F$2:$F$500="Возвращена"))*(Брони!$D$2:$D$500&lt;=A776)*Брони!$D$2:$D$500))</f>
        <v/>
      </c>
      <c r="O776" s="19">
        <f>SUMPRODUCT((Брони!$B$2:$B$500=B776)*(Брони!$D$2:$D$500=N776)*((((Брони!$F$2:$F$500="Выдана")*NOW())+((Брони!$F$2:$F$500="Возвращена")*Брони!$E$2:$E$500))&gt;=A776)*Брони!$A$2:$A$500)</f>
        <v/>
      </c>
      <c r="P776" s="19">
        <f>SUMPRODUCT((Брони!$B$2:$B$500=B776)*(Брони!$D$2:$D$500=N776)*(((Брони!$F$2:$F$500="Выдана")+(Брони!$F$2:$F$500="Возвращена"))))</f>
        <v/>
      </c>
      <c r="Q776" s="10" t="n"/>
    </row>
    <row r="777">
      <c r="A777" s="11" t="n"/>
      <c r="B777" s="10" t="n"/>
      <c r="C777" s="10" t="n"/>
      <c r="D777" s="14" t="n"/>
      <c r="E777" s="10" t="n"/>
      <c r="F777" s="20">
        <f>IF(OR(A777="",B777=""),"",IF(OR(NOT(ISNUMBER(A777)),ISERROR(N777+O777+P777)),"Проверьте даты",IF(AND(N777&gt;0,P777&gt;1),"Дубль",IF(AND(N777&gt;0,O777&gt;0),O777,"Вне аренды"))))</f>
        <v/>
      </c>
      <c r="G777" s="12">
        <f>IF(ISNUMBER(F777),IFERROR(INDEX(Брони!$C$2:$C$500,MATCH(F777,Брони!$A$2:$A$500,0)),""),"")</f>
        <v/>
      </c>
      <c r="H777" s="10" t="n"/>
      <c r="I777" s="18" t="n"/>
      <c r="J777" s="12">
        <f>IF(AND(ISNUMBER(F777),I777&lt;&gt;""),IFERROR(IF(AND(INDEX(Брони!$F$2:$F$500,MATCH(F777,Брони!$A$2:$A$500,0))="Возвращена",I777&gt;INDEX(Брони!$E$2:$E$500,MATCH(F777,Брони!$A$2:$A$500,0))),"Да",""),""),"")</f>
        <v/>
      </c>
      <c r="K777" s="10" t="n"/>
      <c r="L777" s="14" t="n"/>
      <c r="M777" s="15">
        <f>IF(OR(A777="",B777=""),"",IF(AND(ISNUMBER(F777),H777&lt;&gt;"Компания"),D777+L777,0))</f>
        <v/>
      </c>
      <c r="N777" s="21">
        <f>SUMPRODUCT(MAX((Брони!$B$2:$B$500=B777)*((Брони!$F$2:$F$500="Выдана")+(Брони!$F$2:$F$500="Возвращена"))*(Брони!$D$2:$D$500&lt;=A777)*Брони!$D$2:$D$500))</f>
        <v/>
      </c>
      <c r="O777" s="19">
        <f>SUMPRODUCT((Брони!$B$2:$B$500=B777)*(Брони!$D$2:$D$500=N777)*((((Брони!$F$2:$F$500="Выдана")*NOW())+((Брони!$F$2:$F$500="Возвращена")*Брони!$E$2:$E$500))&gt;=A777)*Брони!$A$2:$A$500)</f>
        <v/>
      </c>
      <c r="P777" s="19">
        <f>SUMPRODUCT((Брони!$B$2:$B$500=B777)*(Брони!$D$2:$D$500=N777)*(((Брони!$F$2:$F$500="Выдана")+(Брони!$F$2:$F$500="Возвращена"))))</f>
        <v/>
      </c>
      <c r="Q777" s="10" t="n"/>
    </row>
    <row r="778">
      <c r="A778" s="11" t="n"/>
      <c r="B778" s="10" t="n"/>
      <c r="C778" s="10" t="n"/>
      <c r="D778" s="14" t="n"/>
      <c r="E778" s="10" t="n"/>
      <c r="F778" s="20">
        <f>IF(OR(A778="",B778=""),"",IF(OR(NOT(ISNUMBER(A778)),ISERROR(N778+O778+P778)),"Проверьте даты",IF(AND(N778&gt;0,P778&gt;1),"Дубль",IF(AND(N778&gt;0,O778&gt;0),O778,"Вне аренды"))))</f>
        <v/>
      </c>
      <c r="G778" s="12">
        <f>IF(ISNUMBER(F778),IFERROR(INDEX(Брони!$C$2:$C$500,MATCH(F778,Брони!$A$2:$A$500,0)),""),"")</f>
        <v/>
      </c>
      <c r="H778" s="10" t="n"/>
      <c r="I778" s="18" t="n"/>
      <c r="J778" s="12">
        <f>IF(AND(ISNUMBER(F778),I778&lt;&gt;""),IFERROR(IF(AND(INDEX(Брони!$F$2:$F$500,MATCH(F778,Брони!$A$2:$A$500,0))="Возвращена",I778&gt;INDEX(Брони!$E$2:$E$500,MATCH(F778,Брони!$A$2:$A$500,0))),"Да",""),""),"")</f>
        <v/>
      </c>
      <c r="K778" s="10" t="n"/>
      <c r="L778" s="14" t="n"/>
      <c r="M778" s="15">
        <f>IF(OR(A778="",B778=""),"",IF(AND(ISNUMBER(F778),H778&lt;&gt;"Компания"),D778+L778,0))</f>
        <v/>
      </c>
      <c r="N778" s="21">
        <f>SUMPRODUCT(MAX((Брони!$B$2:$B$500=B778)*((Брони!$F$2:$F$500="Выдана")+(Брони!$F$2:$F$500="Возвращена"))*(Брони!$D$2:$D$500&lt;=A778)*Брони!$D$2:$D$500))</f>
        <v/>
      </c>
      <c r="O778" s="19">
        <f>SUMPRODUCT((Брони!$B$2:$B$500=B778)*(Брони!$D$2:$D$500=N778)*((((Брони!$F$2:$F$500="Выдана")*NOW())+((Брони!$F$2:$F$500="Возвращена")*Брони!$E$2:$E$500))&gt;=A778)*Брони!$A$2:$A$500)</f>
        <v/>
      </c>
      <c r="P778" s="19">
        <f>SUMPRODUCT((Брони!$B$2:$B$500=B778)*(Брони!$D$2:$D$500=N778)*(((Брони!$F$2:$F$500="Выдана")+(Брони!$F$2:$F$500="Возвращена"))))</f>
        <v/>
      </c>
      <c r="Q778" s="10" t="n"/>
    </row>
    <row r="779">
      <c r="A779" s="11" t="n"/>
      <c r="B779" s="10" t="n"/>
      <c r="C779" s="10" t="n"/>
      <c r="D779" s="14" t="n"/>
      <c r="E779" s="10" t="n"/>
      <c r="F779" s="20">
        <f>IF(OR(A779="",B779=""),"",IF(OR(NOT(ISNUMBER(A779)),ISERROR(N779+O779+P779)),"Проверьте даты",IF(AND(N779&gt;0,P779&gt;1),"Дубль",IF(AND(N779&gt;0,O779&gt;0),O779,"Вне аренды"))))</f>
        <v/>
      </c>
      <c r="G779" s="12">
        <f>IF(ISNUMBER(F779),IFERROR(INDEX(Брони!$C$2:$C$500,MATCH(F779,Брони!$A$2:$A$500,0)),""),"")</f>
        <v/>
      </c>
      <c r="H779" s="10" t="n"/>
      <c r="I779" s="18" t="n"/>
      <c r="J779" s="12">
        <f>IF(AND(ISNUMBER(F779),I779&lt;&gt;""),IFERROR(IF(AND(INDEX(Брони!$F$2:$F$500,MATCH(F779,Брони!$A$2:$A$500,0))="Возвращена",I779&gt;INDEX(Брони!$E$2:$E$500,MATCH(F779,Брони!$A$2:$A$500,0))),"Да",""),""),"")</f>
        <v/>
      </c>
      <c r="K779" s="10" t="n"/>
      <c r="L779" s="14" t="n"/>
      <c r="M779" s="15">
        <f>IF(OR(A779="",B779=""),"",IF(AND(ISNUMBER(F779),H779&lt;&gt;"Компания"),D779+L779,0))</f>
        <v/>
      </c>
      <c r="N779" s="21">
        <f>SUMPRODUCT(MAX((Брони!$B$2:$B$500=B779)*((Брони!$F$2:$F$500="Выдана")+(Брони!$F$2:$F$500="Возвращена"))*(Брони!$D$2:$D$500&lt;=A779)*Брони!$D$2:$D$500))</f>
        <v/>
      </c>
      <c r="O779" s="19">
        <f>SUMPRODUCT((Брони!$B$2:$B$500=B779)*(Брони!$D$2:$D$500=N779)*((((Брони!$F$2:$F$500="Выдана")*NOW())+((Брони!$F$2:$F$500="Возвращена")*Брони!$E$2:$E$500))&gt;=A779)*Брони!$A$2:$A$500)</f>
        <v/>
      </c>
      <c r="P779" s="19">
        <f>SUMPRODUCT((Брони!$B$2:$B$500=B779)*(Брони!$D$2:$D$500=N779)*(((Брони!$F$2:$F$500="Выдана")+(Брони!$F$2:$F$500="Возвращена"))))</f>
        <v/>
      </c>
      <c r="Q779" s="10" t="n"/>
    </row>
    <row r="780">
      <c r="A780" s="11" t="n"/>
      <c r="B780" s="10" t="n"/>
      <c r="C780" s="10" t="n"/>
      <c r="D780" s="14" t="n"/>
      <c r="E780" s="10" t="n"/>
      <c r="F780" s="20">
        <f>IF(OR(A780="",B780=""),"",IF(OR(NOT(ISNUMBER(A780)),ISERROR(N780+O780+P780)),"Проверьте даты",IF(AND(N780&gt;0,P780&gt;1),"Дубль",IF(AND(N780&gt;0,O780&gt;0),O780,"Вне аренды"))))</f>
        <v/>
      </c>
      <c r="G780" s="12">
        <f>IF(ISNUMBER(F780),IFERROR(INDEX(Брони!$C$2:$C$500,MATCH(F780,Брони!$A$2:$A$500,0)),""),"")</f>
        <v/>
      </c>
      <c r="H780" s="10" t="n"/>
      <c r="I780" s="18" t="n"/>
      <c r="J780" s="12">
        <f>IF(AND(ISNUMBER(F780),I780&lt;&gt;""),IFERROR(IF(AND(INDEX(Брони!$F$2:$F$500,MATCH(F780,Брони!$A$2:$A$500,0))="Возвращена",I780&gt;INDEX(Брони!$E$2:$E$500,MATCH(F780,Брони!$A$2:$A$500,0))),"Да",""),""),"")</f>
        <v/>
      </c>
      <c r="K780" s="10" t="n"/>
      <c r="L780" s="14" t="n"/>
      <c r="M780" s="15">
        <f>IF(OR(A780="",B780=""),"",IF(AND(ISNUMBER(F780),H780&lt;&gt;"Компания"),D780+L780,0))</f>
        <v/>
      </c>
      <c r="N780" s="21">
        <f>SUMPRODUCT(MAX((Брони!$B$2:$B$500=B780)*((Брони!$F$2:$F$500="Выдана")+(Брони!$F$2:$F$500="Возвращена"))*(Брони!$D$2:$D$500&lt;=A780)*Брони!$D$2:$D$500))</f>
        <v/>
      </c>
      <c r="O780" s="19">
        <f>SUMPRODUCT((Брони!$B$2:$B$500=B780)*(Брони!$D$2:$D$500=N780)*((((Брони!$F$2:$F$500="Выдана")*NOW())+((Брони!$F$2:$F$500="Возвращена")*Брони!$E$2:$E$500))&gt;=A780)*Брони!$A$2:$A$500)</f>
        <v/>
      </c>
      <c r="P780" s="19">
        <f>SUMPRODUCT((Брони!$B$2:$B$500=B780)*(Брони!$D$2:$D$500=N780)*(((Брони!$F$2:$F$500="Выдана")+(Брони!$F$2:$F$500="Возвращена"))))</f>
        <v/>
      </c>
      <c r="Q780" s="10" t="n"/>
    </row>
    <row r="781">
      <c r="A781" s="11" t="n"/>
      <c r="B781" s="10" t="n"/>
      <c r="C781" s="10" t="n"/>
      <c r="D781" s="14" t="n"/>
      <c r="E781" s="10" t="n"/>
      <c r="F781" s="20">
        <f>IF(OR(A781="",B781=""),"",IF(OR(NOT(ISNUMBER(A781)),ISERROR(N781+O781+P781)),"Проверьте даты",IF(AND(N781&gt;0,P781&gt;1),"Дубль",IF(AND(N781&gt;0,O781&gt;0),O781,"Вне аренды"))))</f>
        <v/>
      </c>
      <c r="G781" s="12">
        <f>IF(ISNUMBER(F781),IFERROR(INDEX(Брони!$C$2:$C$500,MATCH(F781,Брони!$A$2:$A$500,0)),""),"")</f>
        <v/>
      </c>
      <c r="H781" s="10" t="n"/>
      <c r="I781" s="18" t="n"/>
      <c r="J781" s="12">
        <f>IF(AND(ISNUMBER(F781),I781&lt;&gt;""),IFERROR(IF(AND(INDEX(Брони!$F$2:$F$500,MATCH(F781,Брони!$A$2:$A$500,0))="Возвращена",I781&gt;INDEX(Брони!$E$2:$E$500,MATCH(F781,Брони!$A$2:$A$500,0))),"Да",""),""),"")</f>
        <v/>
      </c>
      <c r="K781" s="10" t="n"/>
      <c r="L781" s="14" t="n"/>
      <c r="M781" s="15">
        <f>IF(OR(A781="",B781=""),"",IF(AND(ISNUMBER(F781),H781&lt;&gt;"Компания"),D781+L781,0))</f>
        <v/>
      </c>
      <c r="N781" s="21">
        <f>SUMPRODUCT(MAX((Брони!$B$2:$B$500=B781)*((Брони!$F$2:$F$500="Выдана")+(Брони!$F$2:$F$500="Возвращена"))*(Брони!$D$2:$D$500&lt;=A781)*Брони!$D$2:$D$500))</f>
        <v/>
      </c>
      <c r="O781" s="19">
        <f>SUMPRODUCT((Брони!$B$2:$B$500=B781)*(Брони!$D$2:$D$500=N781)*((((Брони!$F$2:$F$500="Выдана")*NOW())+((Брони!$F$2:$F$500="Возвращена")*Брони!$E$2:$E$500))&gt;=A781)*Брони!$A$2:$A$500)</f>
        <v/>
      </c>
      <c r="P781" s="19">
        <f>SUMPRODUCT((Брони!$B$2:$B$500=B781)*(Брони!$D$2:$D$500=N781)*(((Брони!$F$2:$F$500="Выдана")+(Брони!$F$2:$F$500="Возвращена"))))</f>
        <v/>
      </c>
      <c r="Q781" s="10" t="n"/>
    </row>
    <row r="782">
      <c r="A782" s="11" t="n"/>
      <c r="B782" s="10" t="n"/>
      <c r="C782" s="10" t="n"/>
      <c r="D782" s="14" t="n"/>
      <c r="E782" s="10" t="n"/>
      <c r="F782" s="20">
        <f>IF(OR(A782="",B782=""),"",IF(OR(NOT(ISNUMBER(A782)),ISERROR(N782+O782+P782)),"Проверьте даты",IF(AND(N782&gt;0,P782&gt;1),"Дубль",IF(AND(N782&gt;0,O782&gt;0),O782,"Вне аренды"))))</f>
        <v/>
      </c>
      <c r="G782" s="12">
        <f>IF(ISNUMBER(F782),IFERROR(INDEX(Брони!$C$2:$C$500,MATCH(F782,Брони!$A$2:$A$500,0)),""),"")</f>
        <v/>
      </c>
      <c r="H782" s="10" t="n"/>
      <c r="I782" s="18" t="n"/>
      <c r="J782" s="12">
        <f>IF(AND(ISNUMBER(F782),I782&lt;&gt;""),IFERROR(IF(AND(INDEX(Брони!$F$2:$F$500,MATCH(F782,Брони!$A$2:$A$500,0))="Возвращена",I782&gt;INDEX(Брони!$E$2:$E$500,MATCH(F782,Брони!$A$2:$A$500,0))),"Да",""),""),"")</f>
        <v/>
      </c>
      <c r="K782" s="10" t="n"/>
      <c r="L782" s="14" t="n"/>
      <c r="M782" s="15">
        <f>IF(OR(A782="",B782=""),"",IF(AND(ISNUMBER(F782),H782&lt;&gt;"Компания"),D782+L782,0))</f>
        <v/>
      </c>
      <c r="N782" s="21">
        <f>SUMPRODUCT(MAX((Брони!$B$2:$B$500=B782)*((Брони!$F$2:$F$500="Выдана")+(Брони!$F$2:$F$500="Возвращена"))*(Брони!$D$2:$D$500&lt;=A782)*Брони!$D$2:$D$500))</f>
        <v/>
      </c>
      <c r="O782" s="19">
        <f>SUMPRODUCT((Брони!$B$2:$B$500=B782)*(Брони!$D$2:$D$500=N782)*((((Брони!$F$2:$F$500="Выдана")*NOW())+((Брони!$F$2:$F$500="Возвращена")*Брони!$E$2:$E$500))&gt;=A782)*Брони!$A$2:$A$500)</f>
        <v/>
      </c>
      <c r="P782" s="19">
        <f>SUMPRODUCT((Брони!$B$2:$B$500=B782)*(Брони!$D$2:$D$500=N782)*(((Брони!$F$2:$F$500="Выдана")+(Брони!$F$2:$F$500="Возвращена"))))</f>
        <v/>
      </c>
      <c r="Q782" s="10" t="n"/>
    </row>
    <row r="783">
      <c r="A783" s="11" t="n"/>
      <c r="B783" s="10" t="n"/>
      <c r="C783" s="10" t="n"/>
      <c r="D783" s="14" t="n"/>
      <c r="E783" s="10" t="n"/>
      <c r="F783" s="20">
        <f>IF(OR(A783="",B783=""),"",IF(OR(NOT(ISNUMBER(A783)),ISERROR(N783+O783+P783)),"Проверьте даты",IF(AND(N783&gt;0,P783&gt;1),"Дубль",IF(AND(N783&gt;0,O783&gt;0),O783,"Вне аренды"))))</f>
        <v/>
      </c>
      <c r="G783" s="12">
        <f>IF(ISNUMBER(F783),IFERROR(INDEX(Брони!$C$2:$C$500,MATCH(F783,Брони!$A$2:$A$500,0)),""),"")</f>
        <v/>
      </c>
      <c r="H783" s="10" t="n"/>
      <c r="I783" s="18" t="n"/>
      <c r="J783" s="12">
        <f>IF(AND(ISNUMBER(F783),I783&lt;&gt;""),IFERROR(IF(AND(INDEX(Брони!$F$2:$F$500,MATCH(F783,Брони!$A$2:$A$500,0))="Возвращена",I783&gt;INDEX(Брони!$E$2:$E$500,MATCH(F783,Брони!$A$2:$A$500,0))),"Да",""),""),"")</f>
        <v/>
      </c>
      <c r="K783" s="10" t="n"/>
      <c r="L783" s="14" t="n"/>
      <c r="M783" s="15">
        <f>IF(OR(A783="",B783=""),"",IF(AND(ISNUMBER(F783),H783&lt;&gt;"Компания"),D783+L783,0))</f>
        <v/>
      </c>
      <c r="N783" s="21">
        <f>SUMPRODUCT(MAX((Брони!$B$2:$B$500=B783)*((Брони!$F$2:$F$500="Выдана")+(Брони!$F$2:$F$500="Возвращена"))*(Брони!$D$2:$D$500&lt;=A783)*Брони!$D$2:$D$500))</f>
        <v/>
      </c>
      <c r="O783" s="19">
        <f>SUMPRODUCT((Брони!$B$2:$B$500=B783)*(Брони!$D$2:$D$500=N783)*((((Брони!$F$2:$F$500="Выдана")*NOW())+((Брони!$F$2:$F$500="Возвращена")*Брони!$E$2:$E$500))&gt;=A783)*Брони!$A$2:$A$500)</f>
        <v/>
      </c>
      <c r="P783" s="19">
        <f>SUMPRODUCT((Брони!$B$2:$B$500=B783)*(Брони!$D$2:$D$500=N783)*(((Брони!$F$2:$F$500="Выдана")+(Брони!$F$2:$F$500="Возвращена"))))</f>
        <v/>
      </c>
      <c r="Q783" s="10" t="n"/>
    </row>
    <row r="784">
      <c r="A784" s="11" t="n"/>
      <c r="B784" s="10" t="n"/>
      <c r="C784" s="10" t="n"/>
      <c r="D784" s="14" t="n"/>
      <c r="E784" s="10" t="n"/>
      <c r="F784" s="20">
        <f>IF(OR(A784="",B784=""),"",IF(OR(NOT(ISNUMBER(A784)),ISERROR(N784+O784+P784)),"Проверьте даты",IF(AND(N784&gt;0,P784&gt;1),"Дубль",IF(AND(N784&gt;0,O784&gt;0),O784,"Вне аренды"))))</f>
        <v/>
      </c>
      <c r="G784" s="12">
        <f>IF(ISNUMBER(F784),IFERROR(INDEX(Брони!$C$2:$C$500,MATCH(F784,Брони!$A$2:$A$500,0)),""),"")</f>
        <v/>
      </c>
      <c r="H784" s="10" t="n"/>
      <c r="I784" s="18" t="n"/>
      <c r="J784" s="12">
        <f>IF(AND(ISNUMBER(F784),I784&lt;&gt;""),IFERROR(IF(AND(INDEX(Брони!$F$2:$F$500,MATCH(F784,Брони!$A$2:$A$500,0))="Возвращена",I784&gt;INDEX(Брони!$E$2:$E$500,MATCH(F784,Брони!$A$2:$A$500,0))),"Да",""),""),"")</f>
        <v/>
      </c>
      <c r="K784" s="10" t="n"/>
      <c r="L784" s="14" t="n"/>
      <c r="M784" s="15">
        <f>IF(OR(A784="",B784=""),"",IF(AND(ISNUMBER(F784),H784&lt;&gt;"Компания"),D784+L784,0))</f>
        <v/>
      </c>
      <c r="N784" s="21">
        <f>SUMPRODUCT(MAX((Брони!$B$2:$B$500=B784)*((Брони!$F$2:$F$500="Выдана")+(Брони!$F$2:$F$500="Возвращена"))*(Брони!$D$2:$D$500&lt;=A784)*Брони!$D$2:$D$500))</f>
        <v/>
      </c>
      <c r="O784" s="19">
        <f>SUMPRODUCT((Брони!$B$2:$B$500=B784)*(Брони!$D$2:$D$500=N784)*((((Брони!$F$2:$F$500="Выдана")*NOW())+((Брони!$F$2:$F$500="Возвращена")*Брони!$E$2:$E$500))&gt;=A784)*Брони!$A$2:$A$500)</f>
        <v/>
      </c>
      <c r="P784" s="19">
        <f>SUMPRODUCT((Брони!$B$2:$B$500=B784)*(Брони!$D$2:$D$500=N784)*(((Брони!$F$2:$F$500="Выдана")+(Брони!$F$2:$F$500="Возвращена"))))</f>
        <v/>
      </c>
      <c r="Q784" s="10" t="n"/>
    </row>
    <row r="785">
      <c r="A785" s="11" t="n"/>
      <c r="B785" s="10" t="n"/>
      <c r="C785" s="10" t="n"/>
      <c r="D785" s="14" t="n"/>
      <c r="E785" s="10" t="n"/>
      <c r="F785" s="20">
        <f>IF(OR(A785="",B785=""),"",IF(OR(NOT(ISNUMBER(A785)),ISERROR(N785+O785+P785)),"Проверьте даты",IF(AND(N785&gt;0,P785&gt;1),"Дубль",IF(AND(N785&gt;0,O785&gt;0),O785,"Вне аренды"))))</f>
        <v/>
      </c>
      <c r="G785" s="12">
        <f>IF(ISNUMBER(F785),IFERROR(INDEX(Брони!$C$2:$C$500,MATCH(F785,Брони!$A$2:$A$500,0)),""),"")</f>
        <v/>
      </c>
      <c r="H785" s="10" t="n"/>
      <c r="I785" s="18" t="n"/>
      <c r="J785" s="12">
        <f>IF(AND(ISNUMBER(F785),I785&lt;&gt;""),IFERROR(IF(AND(INDEX(Брони!$F$2:$F$500,MATCH(F785,Брони!$A$2:$A$500,0))="Возвращена",I785&gt;INDEX(Брони!$E$2:$E$500,MATCH(F785,Брони!$A$2:$A$500,0))),"Да",""),""),"")</f>
        <v/>
      </c>
      <c r="K785" s="10" t="n"/>
      <c r="L785" s="14" t="n"/>
      <c r="M785" s="15">
        <f>IF(OR(A785="",B785=""),"",IF(AND(ISNUMBER(F785),H785&lt;&gt;"Компания"),D785+L785,0))</f>
        <v/>
      </c>
      <c r="N785" s="21">
        <f>SUMPRODUCT(MAX((Брони!$B$2:$B$500=B785)*((Брони!$F$2:$F$500="Выдана")+(Брони!$F$2:$F$500="Возвращена"))*(Брони!$D$2:$D$500&lt;=A785)*Брони!$D$2:$D$500))</f>
        <v/>
      </c>
      <c r="O785" s="19">
        <f>SUMPRODUCT((Брони!$B$2:$B$500=B785)*(Брони!$D$2:$D$500=N785)*((((Брони!$F$2:$F$500="Выдана")*NOW())+((Брони!$F$2:$F$500="Возвращена")*Брони!$E$2:$E$500))&gt;=A785)*Брони!$A$2:$A$500)</f>
        <v/>
      </c>
      <c r="P785" s="19">
        <f>SUMPRODUCT((Брони!$B$2:$B$500=B785)*(Брони!$D$2:$D$500=N785)*(((Брони!$F$2:$F$500="Выдана")+(Брони!$F$2:$F$500="Возвращена"))))</f>
        <v/>
      </c>
      <c r="Q785" s="10" t="n"/>
    </row>
    <row r="786">
      <c r="A786" s="11" t="n"/>
      <c r="B786" s="10" t="n"/>
      <c r="C786" s="10" t="n"/>
      <c r="D786" s="14" t="n"/>
      <c r="E786" s="10" t="n"/>
      <c r="F786" s="20">
        <f>IF(OR(A786="",B786=""),"",IF(OR(NOT(ISNUMBER(A786)),ISERROR(N786+O786+P786)),"Проверьте даты",IF(AND(N786&gt;0,P786&gt;1),"Дубль",IF(AND(N786&gt;0,O786&gt;0),O786,"Вне аренды"))))</f>
        <v/>
      </c>
      <c r="G786" s="12">
        <f>IF(ISNUMBER(F786),IFERROR(INDEX(Брони!$C$2:$C$500,MATCH(F786,Брони!$A$2:$A$500,0)),""),"")</f>
        <v/>
      </c>
      <c r="H786" s="10" t="n"/>
      <c r="I786" s="18" t="n"/>
      <c r="J786" s="12">
        <f>IF(AND(ISNUMBER(F786),I786&lt;&gt;""),IFERROR(IF(AND(INDEX(Брони!$F$2:$F$500,MATCH(F786,Брони!$A$2:$A$500,0))="Возвращена",I786&gt;INDEX(Брони!$E$2:$E$500,MATCH(F786,Брони!$A$2:$A$500,0))),"Да",""),""),"")</f>
        <v/>
      </c>
      <c r="K786" s="10" t="n"/>
      <c r="L786" s="14" t="n"/>
      <c r="M786" s="15">
        <f>IF(OR(A786="",B786=""),"",IF(AND(ISNUMBER(F786),H786&lt;&gt;"Компания"),D786+L786,0))</f>
        <v/>
      </c>
      <c r="N786" s="21">
        <f>SUMPRODUCT(MAX((Брони!$B$2:$B$500=B786)*((Брони!$F$2:$F$500="Выдана")+(Брони!$F$2:$F$500="Возвращена"))*(Брони!$D$2:$D$500&lt;=A786)*Брони!$D$2:$D$500))</f>
        <v/>
      </c>
      <c r="O786" s="19">
        <f>SUMPRODUCT((Брони!$B$2:$B$500=B786)*(Брони!$D$2:$D$500=N786)*((((Брони!$F$2:$F$500="Выдана")*NOW())+((Брони!$F$2:$F$500="Возвращена")*Брони!$E$2:$E$500))&gt;=A786)*Брони!$A$2:$A$500)</f>
        <v/>
      </c>
      <c r="P786" s="19">
        <f>SUMPRODUCT((Брони!$B$2:$B$500=B786)*(Брони!$D$2:$D$500=N786)*(((Брони!$F$2:$F$500="Выдана")+(Брони!$F$2:$F$500="Возвращена"))))</f>
        <v/>
      </c>
      <c r="Q786" s="10" t="n"/>
    </row>
    <row r="787">
      <c r="A787" s="11" t="n"/>
      <c r="B787" s="10" t="n"/>
      <c r="C787" s="10" t="n"/>
      <c r="D787" s="14" t="n"/>
      <c r="E787" s="10" t="n"/>
      <c r="F787" s="20">
        <f>IF(OR(A787="",B787=""),"",IF(OR(NOT(ISNUMBER(A787)),ISERROR(N787+O787+P787)),"Проверьте даты",IF(AND(N787&gt;0,P787&gt;1),"Дубль",IF(AND(N787&gt;0,O787&gt;0),O787,"Вне аренды"))))</f>
        <v/>
      </c>
      <c r="G787" s="12">
        <f>IF(ISNUMBER(F787),IFERROR(INDEX(Брони!$C$2:$C$500,MATCH(F787,Брони!$A$2:$A$500,0)),""),"")</f>
        <v/>
      </c>
      <c r="H787" s="10" t="n"/>
      <c r="I787" s="18" t="n"/>
      <c r="J787" s="12">
        <f>IF(AND(ISNUMBER(F787),I787&lt;&gt;""),IFERROR(IF(AND(INDEX(Брони!$F$2:$F$500,MATCH(F787,Брони!$A$2:$A$500,0))="Возвращена",I787&gt;INDEX(Брони!$E$2:$E$500,MATCH(F787,Брони!$A$2:$A$500,0))),"Да",""),""),"")</f>
        <v/>
      </c>
      <c r="K787" s="10" t="n"/>
      <c r="L787" s="14" t="n"/>
      <c r="M787" s="15">
        <f>IF(OR(A787="",B787=""),"",IF(AND(ISNUMBER(F787),H787&lt;&gt;"Компания"),D787+L787,0))</f>
        <v/>
      </c>
      <c r="N787" s="21">
        <f>SUMPRODUCT(MAX((Брони!$B$2:$B$500=B787)*((Брони!$F$2:$F$500="Выдана")+(Брони!$F$2:$F$500="Возвращена"))*(Брони!$D$2:$D$500&lt;=A787)*Брони!$D$2:$D$500))</f>
        <v/>
      </c>
      <c r="O787" s="19">
        <f>SUMPRODUCT((Брони!$B$2:$B$500=B787)*(Брони!$D$2:$D$500=N787)*((((Брони!$F$2:$F$500="Выдана")*NOW())+((Брони!$F$2:$F$500="Возвращена")*Брони!$E$2:$E$500))&gt;=A787)*Брони!$A$2:$A$500)</f>
        <v/>
      </c>
      <c r="P787" s="19">
        <f>SUMPRODUCT((Брони!$B$2:$B$500=B787)*(Брони!$D$2:$D$500=N787)*(((Брони!$F$2:$F$500="Выдана")+(Брони!$F$2:$F$500="Возвращена"))))</f>
        <v/>
      </c>
      <c r="Q787" s="10" t="n"/>
    </row>
    <row r="788">
      <c r="A788" s="11" t="n"/>
      <c r="B788" s="10" t="n"/>
      <c r="C788" s="10" t="n"/>
      <c r="D788" s="14" t="n"/>
      <c r="E788" s="10" t="n"/>
      <c r="F788" s="20">
        <f>IF(OR(A788="",B788=""),"",IF(OR(NOT(ISNUMBER(A788)),ISERROR(N788+O788+P788)),"Проверьте даты",IF(AND(N788&gt;0,P788&gt;1),"Дубль",IF(AND(N788&gt;0,O788&gt;0),O788,"Вне аренды"))))</f>
        <v/>
      </c>
      <c r="G788" s="12">
        <f>IF(ISNUMBER(F788),IFERROR(INDEX(Брони!$C$2:$C$500,MATCH(F788,Брони!$A$2:$A$500,0)),""),"")</f>
        <v/>
      </c>
      <c r="H788" s="10" t="n"/>
      <c r="I788" s="18" t="n"/>
      <c r="J788" s="12">
        <f>IF(AND(ISNUMBER(F788),I788&lt;&gt;""),IFERROR(IF(AND(INDEX(Брони!$F$2:$F$500,MATCH(F788,Брони!$A$2:$A$500,0))="Возвращена",I788&gt;INDEX(Брони!$E$2:$E$500,MATCH(F788,Брони!$A$2:$A$500,0))),"Да",""),""),"")</f>
        <v/>
      </c>
      <c r="K788" s="10" t="n"/>
      <c r="L788" s="14" t="n"/>
      <c r="M788" s="15">
        <f>IF(OR(A788="",B788=""),"",IF(AND(ISNUMBER(F788),H788&lt;&gt;"Компания"),D788+L788,0))</f>
        <v/>
      </c>
      <c r="N788" s="21">
        <f>SUMPRODUCT(MAX((Брони!$B$2:$B$500=B788)*((Брони!$F$2:$F$500="Выдана")+(Брони!$F$2:$F$500="Возвращена"))*(Брони!$D$2:$D$500&lt;=A788)*Брони!$D$2:$D$500))</f>
        <v/>
      </c>
      <c r="O788" s="19">
        <f>SUMPRODUCT((Брони!$B$2:$B$500=B788)*(Брони!$D$2:$D$500=N788)*((((Брони!$F$2:$F$500="Выдана")*NOW())+((Брони!$F$2:$F$500="Возвращена")*Брони!$E$2:$E$500))&gt;=A788)*Брони!$A$2:$A$500)</f>
        <v/>
      </c>
      <c r="P788" s="19">
        <f>SUMPRODUCT((Брони!$B$2:$B$500=B788)*(Брони!$D$2:$D$500=N788)*(((Брони!$F$2:$F$500="Выдана")+(Брони!$F$2:$F$500="Возвращена"))))</f>
        <v/>
      </c>
      <c r="Q788" s="10" t="n"/>
    </row>
    <row r="789">
      <c r="A789" s="11" t="n"/>
      <c r="B789" s="10" t="n"/>
      <c r="C789" s="10" t="n"/>
      <c r="D789" s="14" t="n"/>
      <c r="E789" s="10" t="n"/>
      <c r="F789" s="20">
        <f>IF(OR(A789="",B789=""),"",IF(OR(NOT(ISNUMBER(A789)),ISERROR(N789+O789+P789)),"Проверьте даты",IF(AND(N789&gt;0,P789&gt;1),"Дубль",IF(AND(N789&gt;0,O789&gt;0),O789,"Вне аренды"))))</f>
        <v/>
      </c>
      <c r="G789" s="12">
        <f>IF(ISNUMBER(F789),IFERROR(INDEX(Брони!$C$2:$C$500,MATCH(F789,Брони!$A$2:$A$500,0)),""),"")</f>
        <v/>
      </c>
      <c r="H789" s="10" t="n"/>
      <c r="I789" s="18" t="n"/>
      <c r="J789" s="12">
        <f>IF(AND(ISNUMBER(F789),I789&lt;&gt;""),IFERROR(IF(AND(INDEX(Брони!$F$2:$F$500,MATCH(F789,Брони!$A$2:$A$500,0))="Возвращена",I789&gt;INDEX(Брони!$E$2:$E$500,MATCH(F789,Брони!$A$2:$A$500,0))),"Да",""),""),"")</f>
        <v/>
      </c>
      <c r="K789" s="10" t="n"/>
      <c r="L789" s="14" t="n"/>
      <c r="M789" s="15">
        <f>IF(OR(A789="",B789=""),"",IF(AND(ISNUMBER(F789),H789&lt;&gt;"Компания"),D789+L789,0))</f>
        <v/>
      </c>
      <c r="N789" s="21">
        <f>SUMPRODUCT(MAX((Брони!$B$2:$B$500=B789)*((Брони!$F$2:$F$500="Выдана")+(Брони!$F$2:$F$500="Возвращена"))*(Брони!$D$2:$D$500&lt;=A789)*Брони!$D$2:$D$500))</f>
        <v/>
      </c>
      <c r="O789" s="19">
        <f>SUMPRODUCT((Брони!$B$2:$B$500=B789)*(Брони!$D$2:$D$500=N789)*((((Брони!$F$2:$F$500="Выдана")*NOW())+((Брони!$F$2:$F$500="Возвращена")*Брони!$E$2:$E$500))&gt;=A789)*Брони!$A$2:$A$500)</f>
        <v/>
      </c>
      <c r="P789" s="19">
        <f>SUMPRODUCT((Брони!$B$2:$B$500=B789)*(Брони!$D$2:$D$500=N789)*(((Брони!$F$2:$F$500="Выдана")+(Брони!$F$2:$F$500="Возвращена"))))</f>
        <v/>
      </c>
      <c r="Q789" s="10" t="n"/>
    </row>
    <row r="790">
      <c r="A790" s="11" t="n"/>
      <c r="B790" s="10" t="n"/>
      <c r="C790" s="10" t="n"/>
      <c r="D790" s="14" t="n"/>
      <c r="E790" s="10" t="n"/>
      <c r="F790" s="20">
        <f>IF(OR(A790="",B790=""),"",IF(OR(NOT(ISNUMBER(A790)),ISERROR(N790+O790+P790)),"Проверьте даты",IF(AND(N790&gt;0,P790&gt;1),"Дубль",IF(AND(N790&gt;0,O790&gt;0),O790,"Вне аренды"))))</f>
        <v/>
      </c>
      <c r="G790" s="12">
        <f>IF(ISNUMBER(F790),IFERROR(INDEX(Брони!$C$2:$C$500,MATCH(F790,Брони!$A$2:$A$500,0)),""),"")</f>
        <v/>
      </c>
      <c r="H790" s="10" t="n"/>
      <c r="I790" s="18" t="n"/>
      <c r="J790" s="12">
        <f>IF(AND(ISNUMBER(F790),I790&lt;&gt;""),IFERROR(IF(AND(INDEX(Брони!$F$2:$F$500,MATCH(F790,Брони!$A$2:$A$500,0))="Возвращена",I790&gt;INDEX(Брони!$E$2:$E$500,MATCH(F790,Брони!$A$2:$A$500,0))),"Да",""),""),"")</f>
        <v/>
      </c>
      <c r="K790" s="10" t="n"/>
      <c r="L790" s="14" t="n"/>
      <c r="M790" s="15">
        <f>IF(OR(A790="",B790=""),"",IF(AND(ISNUMBER(F790),H790&lt;&gt;"Компания"),D790+L790,0))</f>
        <v/>
      </c>
      <c r="N790" s="21">
        <f>SUMPRODUCT(MAX((Брони!$B$2:$B$500=B790)*((Брони!$F$2:$F$500="Выдана")+(Брони!$F$2:$F$500="Возвращена"))*(Брони!$D$2:$D$500&lt;=A790)*Брони!$D$2:$D$500))</f>
        <v/>
      </c>
      <c r="O790" s="19">
        <f>SUMPRODUCT((Брони!$B$2:$B$500=B790)*(Брони!$D$2:$D$500=N790)*((((Брони!$F$2:$F$500="Выдана")*NOW())+((Брони!$F$2:$F$500="Возвращена")*Брони!$E$2:$E$500))&gt;=A790)*Брони!$A$2:$A$500)</f>
        <v/>
      </c>
      <c r="P790" s="19">
        <f>SUMPRODUCT((Брони!$B$2:$B$500=B790)*(Брони!$D$2:$D$500=N790)*(((Брони!$F$2:$F$500="Выдана")+(Брони!$F$2:$F$500="Возвращена"))))</f>
        <v/>
      </c>
      <c r="Q790" s="10" t="n"/>
    </row>
    <row r="791">
      <c r="A791" s="11" t="n"/>
      <c r="B791" s="10" t="n"/>
      <c r="C791" s="10" t="n"/>
      <c r="D791" s="14" t="n"/>
      <c r="E791" s="10" t="n"/>
      <c r="F791" s="20">
        <f>IF(OR(A791="",B791=""),"",IF(OR(NOT(ISNUMBER(A791)),ISERROR(N791+O791+P791)),"Проверьте даты",IF(AND(N791&gt;0,P791&gt;1),"Дубль",IF(AND(N791&gt;0,O791&gt;0),O791,"Вне аренды"))))</f>
        <v/>
      </c>
      <c r="G791" s="12">
        <f>IF(ISNUMBER(F791),IFERROR(INDEX(Брони!$C$2:$C$500,MATCH(F791,Брони!$A$2:$A$500,0)),""),"")</f>
        <v/>
      </c>
      <c r="H791" s="10" t="n"/>
      <c r="I791" s="18" t="n"/>
      <c r="J791" s="12">
        <f>IF(AND(ISNUMBER(F791),I791&lt;&gt;""),IFERROR(IF(AND(INDEX(Брони!$F$2:$F$500,MATCH(F791,Брони!$A$2:$A$500,0))="Возвращена",I791&gt;INDEX(Брони!$E$2:$E$500,MATCH(F791,Брони!$A$2:$A$500,0))),"Да",""),""),"")</f>
        <v/>
      </c>
      <c r="K791" s="10" t="n"/>
      <c r="L791" s="14" t="n"/>
      <c r="M791" s="15">
        <f>IF(OR(A791="",B791=""),"",IF(AND(ISNUMBER(F791),H791&lt;&gt;"Компания"),D791+L791,0))</f>
        <v/>
      </c>
      <c r="N791" s="21">
        <f>SUMPRODUCT(MAX((Брони!$B$2:$B$500=B791)*((Брони!$F$2:$F$500="Выдана")+(Брони!$F$2:$F$500="Возвращена"))*(Брони!$D$2:$D$500&lt;=A791)*Брони!$D$2:$D$500))</f>
        <v/>
      </c>
      <c r="O791" s="19">
        <f>SUMPRODUCT((Брони!$B$2:$B$500=B791)*(Брони!$D$2:$D$500=N791)*((((Брони!$F$2:$F$500="Выдана")*NOW())+((Брони!$F$2:$F$500="Возвращена")*Брони!$E$2:$E$500))&gt;=A791)*Брони!$A$2:$A$500)</f>
        <v/>
      </c>
      <c r="P791" s="19">
        <f>SUMPRODUCT((Брони!$B$2:$B$500=B791)*(Брони!$D$2:$D$500=N791)*(((Брони!$F$2:$F$500="Выдана")+(Брони!$F$2:$F$500="Возвращена"))))</f>
        <v/>
      </c>
      <c r="Q791" s="10" t="n"/>
    </row>
    <row r="792">
      <c r="A792" s="11" t="n"/>
      <c r="B792" s="10" t="n"/>
      <c r="C792" s="10" t="n"/>
      <c r="D792" s="14" t="n"/>
      <c r="E792" s="10" t="n"/>
      <c r="F792" s="20">
        <f>IF(OR(A792="",B792=""),"",IF(OR(NOT(ISNUMBER(A792)),ISERROR(N792+O792+P792)),"Проверьте даты",IF(AND(N792&gt;0,P792&gt;1),"Дубль",IF(AND(N792&gt;0,O792&gt;0),O792,"Вне аренды"))))</f>
        <v/>
      </c>
      <c r="G792" s="12">
        <f>IF(ISNUMBER(F792),IFERROR(INDEX(Брони!$C$2:$C$500,MATCH(F792,Брони!$A$2:$A$500,0)),""),"")</f>
        <v/>
      </c>
      <c r="H792" s="10" t="n"/>
      <c r="I792" s="18" t="n"/>
      <c r="J792" s="12">
        <f>IF(AND(ISNUMBER(F792),I792&lt;&gt;""),IFERROR(IF(AND(INDEX(Брони!$F$2:$F$500,MATCH(F792,Брони!$A$2:$A$500,0))="Возвращена",I792&gt;INDEX(Брони!$E$2:$E$500,MATCH(F792,Брони!$A$2:$A$500,0))),"Да",""),""),"")</f>
        <v/>
      </c>
      <c r="K792" s="10" t="n"/>
      <c r="L792" s="14" t="n"/>
      <c r="M792" s="15">
        <f>IF(OR(A792="",B792=""),"",IF(AND(ISNUMBER(F792),H792&lt;&gt;"Компания"),D792+L792,0))</f>
        <v/>
      </c>
      <c r="N792" s="21">
        <f>SUMPRODUCT(MAX((Брони!$B$2:$B$500=B792)*((Брони!$F$2:$F$500="Выдана")+(Брони!$F$2:$F$500="Возвращена"))*(Брони!$D$2:$D$500&lt;=A792)*Брони!$D$2:$D$500))</f>
        <v/>
      </c>
      <c r="O792" s="19">
        <f>SUMPRODUCT((Брони!$B$2:$B$500=B792)*(Брони!$D$2:$D$500=N792)*((((Брони!$F$2:$F$500="Выдана")*NOW())+((Брони!$F$2:$F$500="Возвращена")*Брони!$E$2:$E$500))&gt;=A792)*Брони!$A$2:$A$500)</f>
        <v/>
      </c>
      <c r="P792" s="19">
        <f>SUMPRODUCT((Брони!$B$2:$B$500=B792)*(Брони!$D$2:$D$500=N792)*(((Брони!$F$2:$F$500="Выдана")+(Брони!$F$2:$F$500="Возвращена"))))</f>
        <v/>
      </c>
      <c r="Q792" s="10" t="n"/>
    </row>
    <row r="793">
      <c r="A793" s="11" t="n"/>
      <c r="B793" s="10" t="n"/>
      <c r="C793" s="10" t="n"/>
      <c r="D793" s="14" t="n"/>
      <c r="E793" s="10" t="n"/>
      <c r="F793" s="20">
        <f>IF(OR(A793="",B793=""),"",IF(OR(NOT(ISNUMBER(A793)),ISERROR(N793+O793+P793)),"Проверьте даты",IF(AND(N793&gt;0,P793&gt;1),"Дубль",IF(AND(N793&gt;0,O793&gt;0),O793,"Вне аренды"))))</f>
        <v/>
      </c>
      <c r="G793" s="12">
        <f>IF(ISNUMBER(F793),IFERROR(INDEX(Брони!$C$2:$C$500,MATCH(F793,Брони!$A$2:$A$500,0)),""),"")</f>
        <v/>
      </c>
      <c r="H793" s="10" t="n"/>
      <c r="I793" s="18" t="n"/>
      <c r="J793" s="12">
        <f>IF(AND(ISNUMBER(F793),I793&lt;&gt;""),IFERROR(IF(AND(INDEX(Брони!$F$2:$F$500,MATCH(F793,Брони!$A$2:$A$500,0))="Возвращена",I793&gt;INDEX(Брони!$E$2:$E$500,MATCH(F793,Брони!$A$2:$A$500,0))),"Да",""),""),"")</f>
        <v/>
      </c>
      <c r="K793" s="10" t="n"/>
      <c r="L793" s="14" t="n"/>
      <c r="M793" s="15">
        <f>IF(OR(A793="",B793=""),"",IF(AND(ISNUMBER(F793),H793&lt;&gt;"Компания"),D793+L793,0))</f>
        <v/>
      </c>
      <c r="N793" s="21">
        <f>SUMPRODUCT(MAX((Брони!$B$2:$B$500=B793)*((Брони!$F$2:$F$500="Выдана")+(Брони!$F$2:$F$500="Возвращена"))*(Брони!$D$2:$D$500&lt;=A793)*Брони!$D$2:$D$500))</f>
        <v/>
      </c>
      <c r="O793" s="19">
        <f>SUMPRODUCT((Брони!$B$2:$B$500=B793)*(Брони!$D$2:$D$500=N793)*((((Брони!$F$2:$F$500="Выдана")*NOW())+((Брони!$F$2:$F$500="Возвращена")*Брони!$E$2:$E$500))&gt;=A793)*Брони!$A$2:$A$500)</f>
        <v/>
      </c>
      <c r="P793" s="19">
        <f>SUMPRODUCT((Брони!$B$2:$B$500=B793)*(Брони!$D$2:$D$500=N793)*(((Брони!$F$2:$F$500="Выдана")+(Брони!$F$2:$F$500="Возвращена"))))</f>
        <v/>
      </c>
      <c r="Q793" s="10" t="n"/>
    </row>
    <row r="794">
      <c r="A794" s="11" t="n"/>
      <c r="B794" s="10" t="n"/>
      <c r="C794" s="10" t="n"/>
      <c r="D794" s="14" t="n"/>
      <c r="E794" s="10" t="n"/>
      <c r="F794" s="20">
        <f>IF(OR(A794="",B794=""),"",IF(OR(NOT(ISNUMBER(A794)),ISERROR(N794+O794+P794)),"Проверьте даты",IF(AND(N794&gt;0,P794&gt;1),"Дубль",IF(AND(N794&gt;0,O794&gt;0),O794,"Вне аренды"))))</f>
        <v/>
      </c>
      <c r="G794" s="12">
        <f>IF(ISNUMBER(F794),IFERROR(INDEX(Брони!$C$2:$C$500,MATCH(F794,Брони!$A$2:$A$500,0)),""),"")</f>
        <v/>
      </c>
      <c r="H794" s="10" t="n"/>
      <c r="I794" s="18" t="n"/>
      <c r="J794" s="12">
        <f>IF(AND(ISNUMBER(F794),I794&lt;&gt;""),IFERROR(IF(AND(INDEX(Брони!$F$2:$F$500,MATCH(F794,Брони!$A$2:$A$500,0))="Возвращена",I794&gt;INDEX(Брони!$E$2:$E$500,MATCH(F794,Брони!$A$2:$A$500,0))),"Да",""),""),"")</f>
        <v/>
      </c>
      <c r="K794" s="10" t="n"/>
      <c r="L794" s="14" t="n"/>
      <c r="M794" s="15">
        <f>IF(OR(A794="",B794=""),"",IF(AND(ISNUMBER(F794),H794&lt;&gt;"Компания"),D794+L794,0))</f>
        <v/>
      </c>
      <c r="N794" s="21">
        <f>SUMPRODUCT(MAX((Брони!$B$2:$B$500=B794)*((Брони!$F$2:$F$500="Выдана")+(Брони!$F$2:$F$500="Возвращена"))*(Брони!$D$2:$D$500&lt;=A794)*Брони!$D$2:$D$500))</f>
        <v/>
      </c>
      <c r="O794" s="19">
        <f>SUMPRODUCT((Брони!$B$2:$B$500=B794)*(Брони!$D$2:$D$500=N794)*((((Брони!$F$2:$F$500="Выдана")*NOW())+((Брони!$F$2:$F$500="Возвращена")*Брони!$E$2:$E$500))&gt;=A794)*Брони!$A$2:$A$500)</f>
        <v/>
      </c>
      <c r="P794" s="19">
        <f>SUMPRODUCT((Брони!$B$2:$B$500=B794)*(Брони!$D$2:$D$500=N794)*(((Брони!$F$2:$F$500="Выдана")+(Брони!$F$2:$F$500="Возвращена"))))</f>
        <v/>
      </c>
      <c r="Q794" s="10" t="n"/>
    </row>
    <row r="795">
      <c r="A795" s="11" t="n"/>
      <c r="B795" s="10" t="n"/>
      <c r="C795" s="10" t="n"/>
      <c r="D795" s="14" t="n"/>
      <c r="E795" s="10" t="n"/>
      <c r="F795" s="20">
        <f>IF(OR(A795="",B795=""),"",IF(OR(NOT(ISNUMBER(A795)),ISERROR(N795+O795+P795)),"Проверьте даты",IF(AND(N795&gt;0,P795&gt;1),"Дубль",IF(AND(N795&gt;0,O795&gt;0),O795,"Вне аренды"))))</f>
        <v/>
      </c>
      <c r="G795" s="12">
        <f>IF(ISNUMBER(F795),IFERROR(INDEX(Брони!$C$2:$C$500,MATCH(F795,Брони!$A$2:$A$500,0)),""),"")</f>
        <v/>
      </c>
      <c r="H795" s="10" t="n"/>
      <c r="I795" s="18" t="n"/>
      <c r="J795" s="12">
        <f>IF(AND(ISNUMBER(F795),I795&lt;&gt;""),IFERROR(IF(AND(INDEX(Брони!$F$2:$F$500,MATCH(F795,Брони!$A$2:$A$500,0))="Возвращена",I795&gt;INDEX(Брони!$E$2:$E$500,MATCH(F795,Брони!$A$2:$A$500,0))),"Да",""),""),"")</f>
        <v/>
      </c>
      <c r="K795" s="10" t="n"/>
      <c r="L795" s="14" t="n"/>
      <c r="M795" s="15">
        <f>IF(OR(A795="",B795=""),"",IF(AND(ISNUMBER(F795),H795&lt;&gt;"Компания"),D795+L795,0))</f>
        <v/>
      </c>
      <c r="N795" s="21">
        <f>SUMPRODUCT(MAX((Брони!$B$2:$B$500=B795)*((Брони!$F$2:$F$500="Выдана")+(Брони!$F$2:$F$500="Возвращена"))*(Брони!$D$2:$D$500&lt;=A795)*Брони!$D$2:$D$500))</f>
        <v/>
      </c>
      <c r="O795" s="19">
        <f>SUMPRODUCT((Брони!$B$2:$B$500=B795)*(Брони!$D$2:$D$500=N795)*((((Брони!$F$2:$F$500="Выдана")*NOW())+((Брони!$F$2:$F$500="Возвращена")*Брони!$E$2:$E$500))&gt;=A795)*Брони!$A$2:$A$500)</f>
        <v/>
      </c>
      <c r="P795" s="19">
        <f>SUMPRODUCT((Брони!$B$2:$B$500=B795)*(Брони!$D$2:$D$500=N795)*(((Брони!$F$2:$F$500="Выдана")+(Брони!$F$2:$F$500="Возвращена"))))</f>
        <v/>
      </c>
      <c r="Q795" s="10" t="n"/>
    </row>
    <row r="796">
      <c r="A796" s="11" t="n"/>
      <c r="B796" s="10" t="n"/>
      <c r="C796" s="10" t="n"/>
      <c r="D796" s="14" t="n"/>
      <c r="E796" s="10" t="n"/>
      <c r="F796" s="20">
        <f>IF(OR(A796="",B796=""),"",IF(OR(NOT(ISNUMBER(A796)),ISERROR(N796+O796+P796)),"Проверьте даты",IF(AND(N796&gt;0,P796&gt;1),"Дубль",IF(AND(N796&gt;0,O796&gt;0),O796,"Вне аренды"))))</f>
        <v/>
      </c>
      <c r="G796" s="12">
        <f>IF(ISNUMBER(F796),IFERROR(INDEX(Брони!$C$2:$C$500,MATCH(F796,Брони!$A$2:$A$500,0)),""),"")</f>
        <v/>
      </c>
      <c r="H796" s="10" t="n"/>
      <c r="I796" s="18" t="n"/>
      <c r="J796" s="12">
        <f>IF(AND(ISNUMBER(F796),I796&lt;&gt;""),IFERROR(IF(AND(INDEX(Брони!$F$2:$F$500,MATCH(F796,Брони!$A$2:$A$500,0))="Возвращена",I796&gt;INDEX(Брони!$E$2:$E$500,MATCH(F796,Брони!$A$2:$A$500,0))),"Да",""),""),"")</f>
        <v/>
      </c>
      <c r="K796" s="10" t="n"/>
      <c r="L796" s="14" t="n"/>
      <c r="M796" s="15">
        <f>IF(OR(A796="",B796=""),"",IF(AND(ISNUMBER(F796),H796&lt;&gt;"Компания"),D796+L796,0))</f>
        <v/>
      </c>
      <c r="N796" s="21">
        <f>SUMPRODUCT(MAX((Брони!$B$2:$B$500=B796)*((Брони!$F$2:$F$500="Выдана")+(Брони!$F$2:$F$500="Возвращена"))*(Брони!$D$2:$D$500&lt;=A796)*Брони!$D$2:$D$500))</f>
        <v/>
      </c>
      <c r="O796" s="19">
        <f>SUMPRODUCT((Брони!$B$2:$B$500=B796)*(Брони!$D$2:$D$500=N796)*((((Брони!$F$2:$F$500="Выдана")*NOW())+((Брони!$F$2:$F$500="Возвращена")*Брони!$E$2:$E$500))&gt;=A796)*Брони!$A$2:$A$500)</f>
        <v/>
      </c>
      <c r="P796" s="19">
        <f>SUMPRODUCT((Брони!$B$2:$B$500=B796)*(Брони!$D$2:$D$500=N796)*(((Брони!$F$2:$F$500="Выдана")+(Брони!$F$2:$F$500="Возвращена"))))</f>
        <v/>
      </c>
      <c r="Q796" s="10" t="n"/>
    </row>
    <row r="797">
      <c r="A797" s="11" t="n"/>
      <c r="B797" s="10" t="n"/>
      <c r="C797" s="10" t="n"/>
      <c r="D797" s="14" t="n"/>
      <c r="E797" s="10" t="n"/>
      <c r="F797" s="20">
        <f>IF(OR(A797="",B797=""),"",IF(OR(NOT(ISNUMBER(A797)),ISERROR(N797+O797+P797)),"Проверьте даты",IF(AND(N797&gt;0,P797&gt;1),"Дубль",IF(AND(N797&gt;0,O797&gt;0),O797,"Вне аренды"))))</f>
        <v/>
      </c>
      <c r="G797" s="12">
        <f>IF(ISNUMBER(F797),IFERROR(INDEX(Брони!$C$2:$C$500,MATCH(F797,Брони!$A$2:$A$500,0)),""),"")</f>
        <v/>
      </c>
      <c r="H797" s="10" t="n"/>
      <c r="I797" s="18" t="n"/>
      <c r="J797" s="12">
        <f>IF(AND(ISNUMBER(F797),I797&lt;&gt;""),IFERROR(IF(AND(INDEX(Брони!$F$2:$F$500,MATCH(F797,Брони!$A$2:$A$500,0))="Возвращена",I797&gt;INDEX(Брони!$E$2:$E$500,MATCH(F797,Брони!$A$2:$A$500,0))),"Да",""),""),"")</f>
        <v/>
      </c>
      <c r="K797" s="10" t="n"/>
      <c r="L797" s="14" t="n"/>
      <c r="M797" s="15">
        <f>IF(OR(A797="",B797=""),"",IF(AND(ISNUMBER(F797),H797&lt;&gt;"Компания"),D797+L797,0))</f>
        <v/>
      </c>
      <c r="N797" s="21">
        <f>SUMPRODUCT(MAX((Брони!$B$2:$B$500=B797)*((Брони!$F$2:$F$500="Выдана")+(Брони!$F$2:$F$500="Возвращена"))*(Брони!$D$2:$D$500&lt;=A797)*Брони!$D$2:$D$500))</f>
        <v/>
      </c>
      <c r="O797" s="19">
        <f>SUMPRODUCT((Брони!$B$2:$B$500=B797)*(Брони!$D$2:$D$500=N797)*((((Брони!$F$2:$F$500="Выдана")*NOW())+((Брони!$F$2:$F$500="Возвращена")*Брони!$E$2:$E$500))&gt;=A797)*Брони!$A$2:$A$500)</f>
        <v/>
      </c>
      <c r="P797" s="19">
        <f>SUMPRODUCT((Брони!$B$2:$B$500=B797)*(Брони!$D$2:$D$500=N797)*(((Брони!$F$2:$F$500="Выдана")+(Брони!$F$2:$F$500="Возвращена"))))</f>
        <v/>
      </c>
      <c r="Q797" s="10" t="n"/>
    </row>
    <row r="798">
      <c r="A798" s="11" t="n"/>
      <c r="B798" s="10" t="n"/>
      <c r="C798" s="10" t="n"/>
      <c r="D798" s="14" t="n"/>
      <c r="E798" s="10" t="n"/>
      <c r="F798" s="20">
        <f>IF(OR(A798="",B798=""),"",IF(OR(NOT(ISNUMBER(A798)),ISERROR(N798+O798+P798)),"Проверьте даты",IF(AND(N798&gt;0,P798&gt;1),"Дубль",IF(AND(N798&gt;0,O798&gt;0),O798,"Вне аренды"))))</f>
        <v/>
      </c>
      <c r="G798" s="12">
        <f>IF(ISNUMBER(F798),IFERROR(INDEX(Брони!$C$2:$C$500,MATCH(F798,Брони!$A$2:$A$500,0)),""),"")</f>
        <v/>
      </c>
      <c r="H798" s="10" t="n"/>
      <c r="I798" s="18" t="n"/>
      <c r="J798" s="12">
        <f>IF(AND(ISNUMBER(F798),I798&lt;&gt;""),IFERROR(IF(AND(INDEX(Брони!$F$2:$F$500,MATCH(F798,Брони!$A$2:$A$500,0))="Возвращена",I798&gt;INDEX(Брони!$E$2:$E$500,MATCH(F798,Брони!$A$2:$A$500,0))),"Да",""),""),"")</f>
        <v/>
      </c>
      <c r="K798" s="10" t="n"/>
      <c r="L798" s="14" t="n"/>
      <c r="M798" s="15">
        <f>IF(OR(A798="",B798=""),"",IF(AND(ISNUMBER(F798),H798&lt;&gt;"Компания"),D798+L798,0))</f>
        <v/>
      </c>
      <c r="N798" s="21">
        <f>SUMPRODUCT(MAX((Брони!$B$2:$B$500=B798)*((Брони!$F$2:$F$500="Выдана")+(Брони!$F$2:$F$500="Возвращена"))*(Брони!$D$2:$D$500&lt;=A798)*Брони!$D$2:$D$500))</f>
        <v/>
      </c>
      <c r="O798" s="19">
        <f>SUMPRODUCT((Брони!$B$2:$B$500=B798)*(Брони!$D$2:$D$500=N798)*((((Брони!$F$2:$F$500="Выдана")*NOW())+((Брони!$F$2:$F$500="Возвращена")*Брони!$E$2:$E$500))&gt;=A798)*Брони!$A$2:$A$500)</f>
        <v/>
      </c>
      <c r="P798" s="19">
        <f>SUMPRODUCT((Брони!$B$2:$B$500=B798)*(Брони!$D$2:$D$500=N798)*(((Брони!$F$2:$F$500="Выдана")+(Брони!$F$2:$F$500="Возвращена"))))</f>
        <v/>
      </c>
      <c r="Q798" s="10" t="n"/>
    </row>
    <row r="799">
      <c r="A799" s="11" t="n"/>
      <c r="B799" s="10" t="n"/>
      <c r="C799" s="10" t="n"/>
      <c r="D799" s="14" t="n"/>
      <c r="E799" s="10" t="n"/>
      <c r="F799" s="20">
        <f>IF(OR(A799="",B799=""),"",IF(OR(NOT(ISNUMBER(A799)),ISERROR(N799+O799+P799)),"Проверьте даты",IF(AND(N799&gt;0,P799&gt;1),"Дубль",IF(AND(N799&gt;0,O799&gt;0),O799,"Вне аренды"))))</f>
        <v/>
      </c>
      <c r="G799" s="12">
        <f>IF(ISNUMBER(F799),IFERROR(INDEX(Брони!$C$2:$C$500,MATCH(F799,Брони!$A$2:$A$500,0)),""),"")</f>
        <v/>
      </c>
      <c r="H799" s="10" t="n"/>
      <c r="I799" s="18" t="n"/>
      <c r="J799" s="12">
        <f>IF(AND(ISNUMBER(F799),I799&lt;&gt;""),IFERROR(IF(AND(INDEX(Брони!$F$2:$F$500,MATCH(F799,Брони!$A$2:$A$500,0))="Возвращена",I799&gt;INDEX(Брони!$E$2:$E$500,MATCH(F799,Брони!$A$2:$A$500,0))),"Да",""),""),"")</f>
        <v/>
      </c>
      <c r="K799" s="10" t="n"/>
      <c r="L799" s="14" t="n"/>
      <c r="M799" s="15">
        <f>IF(OR(A799="",B799=""),"",IF(AND(ISNUMBER(F799),H799&lt;&gt;"Компания"),D799+L799,0))</f>
        <v/>
      </c>
      <c r="N799" s="21">
        <f>SUMPRODUCT(MAX((Брони!$B$2:$B$500=B799)*((Брони!$F$2:$F$500="Выдана")+(Брони!$F$2:$F$500="Возвращена"))*(Брони!$D$2:$D$500&lt;=A799)*Брони!$D$2:$D$500))</f>
        <v/>
      </c>
      <c r="O799" s="19">
        <f>SUMPRODUCT((Брони!$B$2:$B$500=B799)*(Брони!$D$2:$D$500=N799)*((((Брони!$F$2:$F$500="Выдана")*NOW())+((Брони!$F$2:$F$500="Возвращена")*Брони!$E$2:$E$500))&gt;=A799)*Брони!$A$2:$A$500)</f>
        <v/>
      </c>
      <c r="P799" s="19">
        <f>SUMPRODUCT((Брони!$B$2:$B$500=B799)*(Брони!$D$2:$D$500=N799)*(((Брони!$F$2:$F$500="Выдана")+(Брони!$F$2:$F$500="Возвращена"))))</f>
        <v/>
      </c>
      <c r="Q799" s="10" t="n"/>
    </row>
    <row r="800">
      <c r="A800" s="11" t="n"/>
      <c r="B800" s="10" t="n"/>
      <c r="C800" s="10" t="n"/>
      <c r="D800" s="14" t="n"/>
      <c r="E800" s="10" t="n"/>
      <c r="F800" s="20">
        <f>IF(OR(A800="",B800=""),"",IF(OR(NOT(ISNUMBER(A800)),ISERROR(N800+O800+P800)),"Проверьте даты",IF(AND(N800&gt;0,P800&gt;1),"Дубль",IF(AND(N800&gt;0,O800&gt;0),O800,"Вне аренды"))))</f>
        <v/>
      </c>
      <c r="G800" s="12">
        <f>IF(ISNUMBER(F800),IFERROR(INDEX(Брони!$C$2:$C$500,MATCH(F800,Брони!$A$2:$A$500,0)),""),"")</f>
        <v/>
      </c>
      <c r="H800" s="10" t="n"/>
      <c r="I800" s="18" t="n"/>
      <c r="J800" s="12">
        <f>IF(AND(ISNUMBER(F800),I800&lt;&gt;""),IFERROR(IF(AND(INDEX(Брони!$F$2:$F$500,MATCH(F800,Брони!$A$2:$A$500,0))="Возвращена",I800&gt;INDEX(Брони!$E$2:$E$500,MATCH(F800,Брони!$A$2:$A$500,0))),"Да",""),""),"")</f>
        <v/>
      </c>
      <c r="K800" s="10" t="n"/>
      <c r="L800" s="14" t="n"/>
      <c r="M800" s="15">
        <f>IF(OR(A800="",B800=""),"",IF(AND(ISNUMBER(F800),H800&lt;&gt;"Компания"),D800+L800,0))</f>
        <v/>
      </c>
      <c r="N800" s="21">
        <f>SUMPRODUCT(MAX((Брони!$B$2:$B$500=B800)*((Брони!$F$2:$F$500="Выдана")+(Брони!$F$2:$F$500="Возвращена"))*(Брони!$D$2:$D$500&lt;=A800)*Брони!$D$2:$D$500))</f>
        <v/>
      </c>
      <c r="O800" s="19">
        <f>SUMPRODUCT((Брони!$B$2:$B$500=B800)*(Брони!$D$2:$D$500=N800)*((((Брони!$F$2:$F$500="Выдана")*NOW())+((Брони!$F$2:$F$500="Возвращена")*Брони!$E$2:$E$500))&gt;=A800)*Брони!$A$2:$A$500)</f>
        <v/>
      </c>
      <c r="P800" s="19">
        <f>SUMPRODUCT((Брони!$B$2:$B$500=B800)*(Брони!$D$2:$D$500=N800)*(((Брони!$F$2:$F$500="Выдана")+(Брони!$F$2:$F$500="Возвращена"))))</f>
        <v/>
      </c>
      <c r="Q800" s="10" t="n"/>
    </row>
    <row r="801">
      <c r="A801" s="11" t="n"/>
      <c r="B801" s="10" t="n"/>
      <c r="C801" s="10" t="n"/>
      <c r="D801" s="14" t="n"/>
      <c r="E801" s="10" t="n"/>
      <c r="F801" s="20">
        <f>IF(OR(A801="",B801=""),"",IF(OR(NOT(ISNUMBER(A801)),ISERROR(N801+O801+P801)),"Проверьте даты",IF(AND(N801&gt;0,P801&gt;1),"Дубль",IF(AND(N801&gt;0,O801&gt;0),O801,"Вне аренды"))))</f>
        <v/>
      </c>
      <c r="G801" s="12">
        <f>IF(ISNUMBER(F801),IFERROR(INDEX(Брони!$C$2:$C$500,MATCH(F801,Брони!$A$2:$A$500,0)),""),"")</f>
        <v/>
      </c>
      <c r="H801" s="10" t="n"/>
      <c r="I801" s="18" t="n"/>
      <c r="J801" s="12">
        <f>IF(AND(ISNUMBER(F801),I801&lt;&gt;""),IFERROR(IF(AND(INDEX(Брони!$F$2:$F$500,MATCH(F801,Брони!$A$2:$A$500,0))="Возвращена",I801&gt;INDEX(Брони!$E$2:$E$500,MATCH(F801,Брони!$A$2:$A$500,0))),"Да",""),""),"")</f>
        <v/>
      </c>
      <c r="K801" s="10" t="n"/>
      <c r="L801" s="14" t="n"/>
      <c r="M801" s="15">
        <f>IF(OR(A801="",B801=""),"",IF(AND(ISNUMBER(F801),H801&lt;&gt;"Компания"),D801+L801,0))</f>
        <v/>
      </c>
      <c r="N801" s="21">
        <f>SUMPRODUCT(MAX((Брони!$B$2:$B$500=B801)*((Брони!$F$2:$F$500="Выдана")+(Брони!$F$2:$F$500="Возвращена"))*(Брони!$D$2:$D$500&lt;=A801)*Брони!$D$2:$D$500))</f>
        <v/>
      </c>
      <c r="O801" s="19">
        <f>SUMPRODUCT((Брони!$B$2:$B$500=B801)*(Брони!$D$2:$D$500=N801)*((((Брони!$F$2:$F$500="Выдана")*NOW())+((Брони!$F$2:$F$500="Возвращена")*Брони!$E$2:$E$500))&gt;=A801)*Брони!$A$2:$A$500)</f>
        <v/>
      </c>
      <c r="P801" s="19">
        <f>SUMPRODUCT((Брони!$B$2:$B$500=B801)*(Брони!$D$2:$D$500=N801)*(((Брони!$F$2:$F$500="Выдана")+(Брони!$F$2:$F$500="Возвращена"))))</f>
        <v/>
      </c>
      <c r="Q801" s="10" t="n"/>
    </row>
    <row r="802">
      <c r="A802" s="11" t="n"/>
      <c r="B802" s="10" t="n"/>
      <c r="C802" s="10" t="n"/>
      <c r="D802" s="14" t="n"/>
      <c r="E802" s="10" t="n"/>
      <c r="F802" s="20">
        <f>IF(OR(A802="",B802=""),"",IF(OR(NOT(ISNUMBER(A802)),ISERROR(N802+O802+P802)),"Проверьте даты",IF(AND(N802&gt;0,P802&gt;1),"Дубль",IF(AND(N802&gt;0,O802&gt;0),O802,"Вне аренды"))))</f>
        <v/>
      </c>
      <c r="G802" s="12">
        <f>IF(ISNUMBER(F802),IFERROR(INDEX(Брони!$C$2:$C$500,MATCH(F802,Брони!$A$2:$A$500,0)),""),"")</f>
        <v/>
      </c>
      <c r="H802" s="10" t="n"/>
      <c r="I802" s="18" t="n"/>
      <c r="J802" s="12">
        <f>IF(AND(ISNUMBER(F802),I802&lt;&gt;""),IFERROR(IF(AND(INDEX(Брони!$F$2:$F$500,MATCH(F802,Брони!$A$2:$A$500,0))="Возвращена",I802&gt;INDEX(Брони!$E$2:$E$500,MATCH(F802,Брони!$A$2:$A$500,0))),"Да",""),""),"")</f>
        <v/>
      </c>
      <c r="K802" s="10" t="n"/>
      <c r="L802" s="14" t="n"/>
      <c r="M802" s="15">
        <f>IF(OR(A802="",B802=""),"",IF(AND(ISNUMBER(F802),H802&lt;&gt;"Компания"),D802+L802,0))</f>
        <v/>
      </c>
      <c r="N802" s="21">
        <f>SUMPRODUCT(MAX((Брони!$B$2:$B$500=B802)*((Брони!$F$2:$F$500="Выдана")+(Брони!$F$2:$F$500="Возвращена"))*(Брони!$D$2:$D$500&lt;=A802)*Брони!$D$2:$D$500))</f>
        <v/>
      </c>
      <c r="O802" s="19">
        <f>SUMPRODUCT((Брони!$B$2:$B$500=B802)*(Брони!$D$2:$D$500=N802)*((((Брони!$F$2:$F$500="Выдана")*NOW())+((Брони!$F$2:$F$500="Возвращена")*Брони!$E$2:$E$500))&gt;=A802)*Брони!$A$2:$A$500)</f>
        <v/>
      </c>
      <c r="P802" s="19">
        <f>SUMPRODUCT((Брони!$B$2:$B$500=B802)*(Брони!$D$2:$D$500=N802)*(((Брони!$F$2:$F$500="Выдана")+(Брони!$F$2:$F$500="Возвращена"))))</f>
        <v/>
      </c>
      <c r="Q802" s="10" t="n"/>
    </row>
    <row r="803">
      <c r="A803" s="11" t="n"/>
      <c r="B803" s="10" t="n"/>
      <c r="C803" s="10" t="n"/>
      <c r="D803" s="14" t="n"/>
      <c r="E803" s="10" t="n"/>
      <c r="F803" s="20">
        <f>IF(OR(A803="",B803=""),"",IF(OR(NOT(ISNUMBER(A803)),ISERROR(N803+O803+P803)),"Проверьте даты",IF(AND(N803&gt;0,P803&gt;1),"Дубль",IF(AND(N803&gt;0,O803&gt;0),O803,"Вне аренды"))))</f>
        <v/>
      </c>
      <c r="G803" s="12">
        <f>IF(ISNUMBER(F803),IFERROR(INDEX(Брони!$C$2:$C$500,MATCH(F803,Брони!$A$2:$A$500,0)),""),"")</f>
        <v/>
      </c>
      <c r="H803" s="10" t="n"/>
      <c r="I803" s="18" t="n"/>
      <c r="J803" s="12">
        <f>IF(AND(ISNUMBER(F803),I803&lt;&gt;""),IFERROR(IF(AND(INDEX(Брони!$F$2:$F$500,MATCH(F803,Брони!$A$2:$A$500,0))="Возвращена",I803&gt;INDEX(Брони!$E$2:$E$500,MATCH(F803,Брони!$A$2:$A$500,0))),"Да",""),""),"")</f>
        <v/>
      </c>
      <c r="K803" s="10" t="n"/>
      <c r="L803" s="14" t="n"/>
      <c r="M803" s="15">
        <f>IF(OR(A803="",B803=""),"",IF(AND(ISNUMBER(F803),H803&lt;&gt;"Компания"),D803+L803,0))</f>
        <v/>
      </c>
      <c r="N803" s="21">
        <f>SUMPRODUCT(MAX((Брони!$B$2:$B$500=B803)*((Брони!$F$2:$F$500="Выдана")+(Брони!$F$2:$F$500="Возвращена"))*(Брони!$D$2:$D$500&lt;=A803)*Брони!$D$2:$D$500))</f>
        <v/>
      </c>
      <c r="O803" s="19">
        <f>SUMPRODUCT((Брони!$B$2:$B$500=B803)*(Брони!$D$2:$D$500=N803)*((((Брони!$F$2:$F$500="Выдана")*NOW())+((Брони!$F$2:$F$500="Возвращена")*Брони!$E$2:$E$500))&gt;=A803)*Брони!$A$2:$A$500)</f>
        <v/>
      </c>
      <c r="P803" s="19">
        <f>SUMPRODUCT((Брони!$B$2:$B$500=B803)*(Брони!$D$2:$D$500=N803)*(((Брони!$F$2:$F$500="Выдана")+(Брони!$F$2:$F$500="Возвращена"))))</f>
        <v/>
      </c>
      <c r="Q803" s="10" t="n"/>
    </row>
    <row r="804">
      <c r="A804" s="11" t="n"/>
      <c r="B804" s="10" t="n"/>
      <c r="C804" s="10" t="n"/>
      <c r="D804" s="14" t="n"/>
      <c r="E804" s="10" t="n"/>
      <c r="F804" s="20">
        <f>IF(OR(A804="",B804=""),"",IF(OR(NOT(ISNUMBER(A804)),ISERROR(N804+O804+P804)),"Проверьте даты",IF(AND(N804&gt;0,P804&gt;1),"Дубль",IF(AND(N804&gt;0,O804&gt;0),O804,"Вне аренды"))))</f>
        <v/>
      </c>
      <c r="G804" s="12">
        <f>IF(ISNUMBER(F804),IFERROR(INDEX(Брони!$C$2:$C$500,MATCH(F804,Брони!$A$2:$A$500,0)),""),"")</f>
        <v/>
      </c>
      <c r="H804" s="10" t="n"/>
      <c r="I804" s="18" t="n"/>
      <c r="J804" s="12">
        <f>IF(AND(ISNUMBER(F804),I804&lt;&gt;""),IFERROR(IF(AND(INDEX(Брони!$F$2:$F$500,MATCH(F804,Брони!$A$2:$A$500,0))="Возвращена",I804&gt;INDEX(Брони!$E$2:$E$500,MATCH(F804,Брони!$A$2:$A$500,0))),"Да",""),""),"")</f>
        <v/>
      </c>
      <c r="K804" s="10" t="n"/>
      <c r="L804" s="14" t="n"/>
      <c r="M804" s="15">
        <f>IF(OR(A804="",B804=""),"",IF(AND(ISNUMBER(F804),H804&lt;&gt;"Компания"),D804+L804,0))</f>
        <v/>
      </c>
      <c r="N804" s="21">
        <f>SUMPRODUCT(MAX((Брони!$B$2:$B$500=B804)*((Брони!$F$2:$F$500="Выдана")+(Брони!$F$2:$F$500="Возвращена"))*(Брони!$D$2:$D$500&lt;=A804)*Брони!$D$2:$D$500))</f>
        <v/>
      </c>
      <c r="O804" s="19">
        <f>SUMPRODUCT((Брони!$B$2:$B$500=B804)*(Брони!$D$2:$D$500=N804)*((((Брони!$F$2:$F$500="Выдана")*NOW())+((Брони!$F$2:$F$500="Возвращена")*Брони!$E$2:$E$500))&gt;=A804)*Брони!$A$2:$A$500)</f>
        <v/>
      </c>
      <c r="P804" s="19">
        <f>SUMPRODUCT((Брони!$B$2:$B$500=B804)*(Брони!$D$2:$D$500=N804)*(((Брони!$F$2:$F$500="Выдана")+(Брони!$F$2:$F$500="Возвращена"))))</f>
        <v/>
      </c>
      <c r="Q804" s="10" t="n"/>
    </row>
    <row r="805">
      <c r="A805" s="11" t="n"/>
      <c r="B805" s="10" t="n"/>
      <c r="C805" s="10" t="n"/>
      <c r="D805" s="14" t="n"/>
      <c r="E805" s="10" t="n"/>
      <c r="F805" s="20">
        <f>IF(OR(A805="",B805=""),"",IF(OR(NOT(ISNUMBER(A805)),ISERROR(N805+O805+P805)),"Проверьте даты",IF(AND(N805&gt;0,P805&gt;1),"Дубль",IF(AND(N805&gt;0,O805&gt;0),O805,"Вне аренды"))))</f>
        <v/>
      </c>
      <c r="G805" s="12">
        <f>IF(ISNUMBER(F805),IFERROR(INDEX(Брони!$C$2:$C$500,MATCH(F805,Брони!$A$2:$A$500,0)),""),"")</f>
        <v/>
      </c>
      <c r="H805" s="10" t="n"/>
      <c r="I805" s="18" t="n"/>
      <c r="J805" s="12">
        <f>IF(AND(ISNUMBER(F805),I805&lt;&gt;""),IFERROR(IF(AND(INDEX(Брони!$F$2:$F$500,MATCH(F805,Брони!$A$2:$A$500,0))="Возвращена",I805&gt;INDEX(Брони!$E$2:$E$500,MATCH(F805,Брони!$A$2:$A$500,0))),"Да",""),""),"")</f>
        <v/>
      </c>
      <c r="K805" s="10" t="n"/>
      <c r="L805" s="14" t="n"/>
      <c r="M805" s="15">
        <f>IF(OR(A805="",B805=""),"",IF(AND(ISNUMBER(F805),H805&lt;&gt;"Компания"),D805+L805,0))</f>
        <v/>
      </c>
      <c r="N805" s="21">
        <f>SUMPRODUCT(MAX((Брони!$B$2:$B$500=B805)*((Брони!$F$2:$F$500="Выдана")+(Брони!$F$2:$F$500="Возвращена"))*(Брони!$D$2:$D$500&lt;=A805)*Брони!$D$2:$D$500))</f>
        <v/>
      </c>
      <c r="O805" s="19">
        <f>SUMPRODUCT((Брони!$B$2:$B$500=B805)*(Брони!$D$2:$D$500=N805)*((((Брони!$F$2:$F$500="Выдана")*NOW())+((Брони!$F$2:$F$500="Возвращена")*Брони!$E$2:$E$500))&gt;=A805)*Брони!$A$2:$A$500)</f>
        <v/>
      </c>
      <c r="P805" s="19">
        <f>SUMPRODUCT((Брони!$B$2:$B$500=B805)*(Брони!$D$2:$D$500=N805)*(((Брони!$F$2:$F$500="Выдана")+(Брони!$F$2:$F$500="Возвращена"))))</f>
        <v/>
      </c>
      <c r="Q805" s="10" t="n"/>
    </row>
    <row r="806">
      <c r="A806" s="11" t="n"/>
      <c r="B806" s="10" t="n"/>
      <c r="C806" s="10" t="n"/>
      <c r="D806" s="14" t="n"/>
      <c r="E806" s="10" t="n"/>
      <c r="F806" s="20">
        <f>IF(OR(A806="",B806=""),"",IF(OR(NOT(ISNUMBER(A806)),ISERROR(N806+O806+P806)),"Проверьте даты",IF(AND(N806&gt;0,P806&gt;1),"Дубль",IF(AND(N806&gt;0,O806&gt;0),O806,"Вне аренды"))))</f>
        <v/>
      </c>
      <c r="G806" s="12">
        <f>IF(ISNUMBER(F806),IFERROR(INDEX(Брони!$C$2:$C$500,MATCH(F806,Брони!$A$2:$A$500,0)),""),"")</f>
        <v/>
      </c>
      <c r="H806" s="10" t="n"/>
      <c r="I806" s="18" t="n"/>
      <c r="J806" s="12">
        <f>IF(AND(ISNUMBER(F806),I806&lt;&gt;""),IFERROR(IF(AND(INDEX(Брони!$F$2:$F$500,MATCH(F806,Брони!$A$2:$A$500,0))="Возвращена",I806&gt;INDEX(Брони!$E$2:$E$500,MATCH(F806,Брони!$A$2:$A$500,0))),"Да",""),""),"")</f>
        <v/>
      </c>
      <c r="K806" s="10" t="n"/>
      <c r="L806" s="14" t="n"/>
      <c r="M806" s="15">
        <f>IF(OR(A806="",B806=""),"",IF(AND(ISNUMBER(F806),H806&lt;&gt;"Компания"),D806+L806,0))</f>
        <v/>
      </c>
      <c r="N806" s="21">
        <f>SUMPRODUCT(MAX((Брони!$B$2:$B$500=B806)*((Брони!$F$2:$F$500="Выдана")+(Брони!$F$2:$F$500="Возвращена"))*(Брони!$D$2:$D$500&lt;=A806)*Брони!$D$2:$D$500))</f>
        <v/>
      </c>
      <c r="O806" s="19">
        <f>SUMPRODUCT((Брони!$B$2:$B$500=B806)*(Брони!$D$2:$D$500=N806)*((((Брони!$F$2:$F$500="Выдана")*NOW())+((Брони!$F$2:$F$500="Возвращена")*Брони!$E$2:$E$500))&gt;=A806)*Брони!$A$2:$A$500)</f>
        <v/>
      </c>
      <c r="P806" s="19">
        <f>SUMPRODUCT((Брони!$B$2:$B$500=B806)*(Брони!$D$2:$D$500=N806)*(((Брони!$F$2:$F$500="Выдана")+(Брони!$F$2:$F$500="Возвращена"))))</f>
        <v/>
      </c>
      <c r="Q806" s="10" t="n"/>
    </row>
    <row r="807">
      <c r="A807" s="11" t="n"/>
      <c r="B807" s="10" t="n"/>
      <c r="C807" s="10" t="n"/>
      <c r="D807" s="14" t="n"/>
      <c r="E807" s="10" t="n"/>
      <c r="F807" s="20">
        <f>IF(OR(A807="",B807=""),"",IF(OR(NOT(ISNUMBER(A807)),ISERROR(N807+O807+P807)),"Проверьте даты",IF(AND(N807&gt;0,P807&gt;1),"Дубль",IF(AND(N807&gt;0,O807&gt;0),O807,"Вне аренды"))))</f>
        <v/>
      </c>
      <c r="G807" s="12">
        <f>IF(ISNUMBER(F807),IFERROR(INDEX(Брони!$C$2:$C$500,MATCH(F807,Брони!$A$2:$A$500,0)),""),"")</f>
        <v/>
      </c>
      <c r="H807" s="10" t="n"/>
      <c r="I807" s="18" t="n"/>
      <c r="J807" s="12">
        <f>IF(AND(ISNUMBER(F807),I807&lt;&gt;""),IFERROR(IF(AND(INDEX(Брони!$F$2:$F$500,MATCH(F807,Брони!$A$2:$A$500,0))="Возвращена",I807&gt;INDEX(Брони!$E$2:$E$500,MATCH(F807,Брони!$A$2:$A$500,0))),"Да",""),""),"")</f>
        <v/>
      </c>
      <c r="K807" s="10" t="n"/>
      <c r="L807" s="14" t="n"/>
      <c r="M807" s="15">
        <f>IF(OR(A807="",B807=""),"",IF(AND(ISNUMBER(F807),H807&lt;&gt;"Компания"),D807+L807,0))</f>
        <v/>
      </c>
      <c r="N807" s="21">
        <f>SUMPRODUCT(MAX((Брони!$B$2:$B$500=B807)*((Брони!$F$2:$F$500="Выдана")+(Брони!$F$2:$F$500="Возвращена"))*(Брони!$D$2:$D$500&lt;=A807)*Брони!$D$2:$D$500))</f>
        <v/>
      </c>
      <c r="O807" s="19">
        <f>SUMPRODUCT((Брони!$B$2:$B$500=B807)*(Брони!$D$2:$D$500=N807)*((((Брони!$F$2:$F$500="Выдана")*NOW())+((Брони!$F$2:$F$500="Возвращена")*Брони!$E$2:$E$500))&gt;=A807)*Брони!$A$2:$A$500)</f>
        <v/>
      </c>
      <c r="P807" s="19">
        <f>SUMPRODUCT((Брони!$B$2:$B$500=B807)*(Брони!$D$2:$D$500=N807)*(((Брони!$F$2:$F$500="Выдана")+(Брони!$F$2:$F$500="Возвращена"))))</f>
        <v/>
      </c>
      <c r="Q807" s="10" t="n"/>
    </row>
    <row r="808">
      <c r="A808" s="11" t="n"/>
      <c r="B808" s="10" t="n"/>
      <c r="C808" s="10" t="n"/>
      <c r="D808" s="14" t="n"/>
      <c r="E808" s="10" t="n"/>
      <c r="F808" s="20">
        <f>IF(OR(A808="",B808=""),"",IF(OR(NOT(ISNUMBER(A808)),ISERROR(N808+O808+P808)),"Проверьте даты",IF(AND(N808&gt;0,P808&gt;1),"Дубль",IF(AND(N808&gt;0,O808&gt;0),O808,"Вне аренды"))))</f>
        <v/>
      </c>
      <c r="G808" s="12">
        <f>IF(ISNUMBER(F808),IFERROR(INDEX(Брони!$C$2:$C$500,MATCH(F808,Брони!$A$2:$A$500,0)),""),"")</f>
        <v/>
      </c>
      <c r="H808" s="10" t="n"/>
      <c r="I808" s="18" t="n"/>
      <c r="J808" s="12">
        <f>IF(AND(ISNUMBER(F808),I808&lt;&gt;""),IFERROR(IF(AND(INDEX(Брони!$F$2:$F$500,MATCH(F808,Брони!$A$2:$A$500,0))="Возвращена",I808&gt;INDEX(Брони!$E$2:$E$500,MATCH(F808,Брони!$A$2:$A$500,0))),"Да",""),""),"")</f>
        <v/>
      </c>
      <c r="K808" s="10" t="n"/>
      <c r="L808" s="14" t="n"/>
      <c r="M808" s="15">
        <f>IF(OR(A808="",B808=""),"",IF(AND(ISNUMBER(F808),H808&lt;&gt;"Компания"),D808+L808,0))</f>
        <v/>
      </c>
      <c r="N808" s="21">
        <f>SUMPRODUCT(MAX((Брони!$B$2:$B$500=B808)*((Брони!$F$2:$F$500="Выдана")+(Брони!$F$2:$F$500="Возвращена"))*(Брони!$D$2:$D$500&lt;=A808)*Брони!$D$2:$D$500))</f>
        <v/>
      </c>
      <c r="O808" s="19">
        <f>SUMPRODUCT((Брони!$B$2:$B$500=B808)*(Брони!$D$2:$D$500=N808)*((((Брони!$F$2:$F$500="Выдана")*NOW())+((Брони!$F$2:$F$500="Возвращена")*Брони!$E$2:$E$500))&gt;=A808)*Брони!$A$2:$A$500)</f>
        <v/>
      </c>
      <c r="P808" s="19">
        <f>SUMPRODUCT((Брони!$B$2:$B$500=B808)*(Брони!$D$2:$D$500=N808)*(((Брони!$F$2:$F$500="Выдана")+(Брони!$F$2:$F$500="Возвращена"))))</f>
        <v/>
      </c>
      <c r="Q808" s="10" t="n"/>
    </row>
    <row r="809">
      <c r="A809" s="11" t="n"/>
      <c r="B809" s="10" t="n"/>
      <c r="C809" s="10" t="n"/>
      <c r="D809" s="14" t="n"/>
      <c r="E809" s="10" t="n"/>
      <c r="F809" s="20">
        <f>IF(OR(A809="",B809=""),"",IF(OR(NOT(ISNUMBER(A809)),ISERROR(N809+O809+P809)),"Проверьте даты",IF(AND(N809&gt;0,P809&gt;1),"Дубль",IF(AND(N809&gt;0,O809&gt;0),O809,"Вне аренды"))))</f>
        <v/>
      </c>
      <c r="G809" s="12">
        <f>IF(ISNUMBER(F809),IFERROR(INDEX(Брони!$C$2:$C$500,MATCH(F809,Брони!$A$2:$A$500,0)),""),"")</f>
        <v/>
      </c>
      <c r="H809" s="10" t="n"/>
      <c r="I809" s="18" t="n"/>
      <c r="J809" s="12">
        <f>IF(AND(ISNUMBER(F809),I809&lt;&gt;""),IFERROR(IF(AND(INDEX(Брони!$F$2:$F$500,MATCH(F809,Брони!$A$2:$A$500,0))="Возвращена",I809&gt;INDEX(Брони!$E$2:$E$500,MATCH(F809,Брони!$A$2:$A$500,0))),"Да",""),""),"")</f>
        <v/>
      </c>
      <c r="K809" s="10" t="n"/>
      <c r="L809" s="14" t="n"/>
      <c r="M809" s="15">
        <f>IF(OR(A809="",B809=""),"",IF(AND(ISNUMBER(F809),H809&lt;&gt;"Компания"),D809+L809,0))</f>
        <v/>
      </c>
      <c r="N809" s="21">
        <f>SUMPRODUCT(MAX((Брони!$B$2:$B$500=B809)*((Брони!$F$2:$F$500="Выдана")+(Брони!$F$2:$F$500="Возвращена"))*(Брони!$D$2:$D$500&lt;=A809)*Брони!$D$2:$D$500))</f>
        <v/>
      </c>
      <c r="O809" s="19">
        <f>SUMPRODUCT((Брони!$B$2:$B$500=B809)*(Брони!$D$2:$D$500=N809)*((((Брони!$F$2:$F$500="Выдана")*NOW())+((Брони!$F$2:$F$500="Возвращена")*Брони!$E$2:$E$500))&gt;=A809)*Брони!$A$2:$A$500)</f>
        <v/>
      </c>
      <c r="P809" s="19">
        <f>SUMPRODUCT((Брони!$B$2:$B$500=B809)*(Брони!$D$2:$D$500=N809)*(((Брони!$F$2:$F$500="Выдана")+(Брони!$F$2:$F$500="Возвращена"))))</f>
        <v/>
      </c>
      <c r="Q809" s="10" t="n"/>
    </row>
    <row r="810">
      <c r="A810" s="11" t="n"/>
      <c r="B810" s="10" t="n"/>
      <c r="C810" s="10" t="n"/>
      <c r="D810" s="14" t="n"/>
      <c r="E810" s="10" t="n"/>
      <c r="F810" s="20">
        <f>IF(OR(A810="",B810=""),"",IF(OR(NOT(ISNUMBER(A810)),ISERROR(N810+O810+P810)),"Проверьте даты",IF(AND(N810&gt;0,P810&gt;1),"Дубль",IF(AND(N810&gt;0,O810&gt;0),O810,"Вне аренды"))))</f>
        <v/>
      </c>
      <c r="G810" s="12">
        <f>IF(ISNUMBER(F810),IFERROR(INDEX(Брони!$C$2:$C$500,MATCH(F810,Брони!$A$2:$A$500,0)),""),"")</f>
        <v/>
      </c>
      <c r="H810" s="10" t="n"/>
      <c r="I810" s="18" t="n"/>
      <c r="J810" s="12">
        <f>IF(AND(ISNUMBER(F810),I810&lt;&gt;""),IFERROR(IF(AND(INDEX(Брони!$F$2:$F$500,MATCH(F810,Брони!$A$2:$A$500,0))="Возвращена",I810&gt;INDEX(Брони!$E$2:$E$500,MATCH(F810,Брони!$A$2:$A$500,0))),"Да",""),""),"")</f>
        <v/>
      </c>
      <c r="K810" s="10" t="n"/>
      <c r="L810" s="14" t="n"/>
      <c r="M810" s="15">
        <f>IF(OR(A810="",B810=""),"",IF(AND(ISNUMBER(F810),H810&lt;&gt;"Компания"),D810+L810,0))</f>
        <v/>
      </c>
      <c r="N810" s="21">
        <f>SUMPRODUCT(MAX((Брони!$B$2:$B$500=B810)*((Брони!$F$2:$F$500="Выдана")+(Брони!$F$2:$F$500="Возвращена"))*(Брони!$D$2:$D$500&lt;=A810)*Брони!$D$2:$D$500))</f>
        <v/>
      </c>
      <c r="O810" s="19">
        <f>SUMPRODUCT((Брони!$B$2:$B$500=B810)*(Брони!$D$2:$D$500=N810)*((((Брони!$F$2:$F$500="Выдана")*NOW())+((Брони!$F$2:$F$500="Возвращена")*Брони!$E$2:$E$500))&gt;=A810)*Брони!$A$2:$A$500)</f>
        <v/>
      </c>
      <c r="P810" s="19">
        <f>SUMPRODUCT((Брони!$B$2:$B$500=B810)*(Брони!$D$2:$D$500=N810)*(((Брони!$F$2:$F$500="Выдана")+(Брони!$F$2:$F$500="Возвращена"))))</f>
        <v/>
      </c>
      <c r="Q810" s="10" t="n"/>
    </row>
    <row r="811">
      <c r="A811" s="11" t="n"/>
      <c r="B811" s="10" t="n"/>
      <c r="C811" s="10" t="n"/>
      <c r="D811" s="14" t="n"/>
      <c r="E811" s="10" t="n"/>
      <c r="F811" s="20">
        <f>IF(OR(A811="",B811=""),"",IF(OR(NOT(ISNUMBER(A811)),ISERROR(N811+O811+P811)),"Проверьте даты",IF(AND(N811&gt;0,P811&gt;1),"Дубль",IF(AND(N811&gt;0,O811&gt;0),O811,"Вне аренды"))))</f>
        <v/>
      </c>
      <c r="G811" s="12">
        <f>IF(ISNUMBER(F811),IFERROR(INDEX(Брони!$C$2:$C$500,MATCH(F811,Брони!$A$2:$A$500,0)),""),"")</f>
        <v/>
      </c>
      <c r="H811" s="10" t="n"/>
      <c r="I811" s="18" t="n"/>
      <c r="J811" s="12">
        <f>IF(AND(ISNUMBER(F811),I811&lt;&gt;""),IFERROR(IF(AND(INDEX(Брони!$F$2:$F$500,MATCH(F811,Брони!$A$2:$A$500,0))="Возвращена",I811&gt;INDEX(Брони!$E$2:$E$500,MATCH(F811,Брони!$A$2:$A$500,0))),"Да",""),""),"")</f>
        <v/>
      </c>
      <c r="K811" s="10" t="n"/>
      <c r="L811" s="14" t="n"/>
      <c r="M811" s="15">
        <f>IF(OR(A811="",B811=""),"",IF(AND(ISNUMBER(F811),H811&lt;&gt;"Компания"),D811+L811,0))</f>
        <v/>
      </c>
      <c r="N811" s="21">
        <f>SUMPRODUCT(MAX((Брони!$B$2:$B$500=B811)*((Брони!$F$2:$F$500="Выдана")+(Брони!$F$2:$F$500="Возвращена"))*(Брони!$D$2:$D$500&lt;=A811)*Брони!$D$2:$D$500))</f>
        <v/>
      </c>
      <c r="O811" s="19">
        <f>SUMPRODUCT((Брони!$B$2:$B$500=B811)*(Брони!$D$2:$D$500=N811)*((((Брони!$F$2:$F$500="Выдана")*NOW())+((Брони!$F$2:$F$500="Возвращена")*Брони!$E$2:$E$500))&gt;=A811)*Брони!$A$2:$A$500)</f>
        <v/>
      </c>
      <c r="P811" s="19">
        <f>SUMPRODUCT((Брони!$B$2:$B$500=B811)*(Брони!$D$2:$D$500=N811)*(((Брони!$F$2:$F$500="Выдана")+(Брони!$F$2:$F$500="Возвращена"))))</f>
        <v/>
      </c>
      <c r="Q811" s="10" t="n"/>
    </row>
    <row r="812">
      <c r="A812" s="11" t="n"/>
      <c r="B812" s="10" t="n"/>
      <c r="C812" s="10" t="n"/>
      <c r="D812" s="14" t="n"/>
      <c r="E812" s="10" t="n"/>
      <c r="F812" s="20">
        <f>IF(OR(A812="",B812=""),"",IF(OR(NOT(ISNUMBER(A812)),ISERROR(N812+O812+P812)),"Проверьте даты",IF(AND(N812&gt;0,P812&gt;1),"Дубль",IF(AND(N812&gt;0,O812&gt;0),O812,"Вне аренды"))))</f>
        <v/>
      </c>
      <c r="G812" s="12">
        <f>IF(ISNUMBER(F812),IFERROR(INDEX(Брони!$C$2:$C$500,MATCH(F812,Брони!$A$2:$A$500,0)),""),"")</f>
        <v/>
      </c>
      <c r="H812" s="10" t="n"/>
      <c r="I812" s="18" t="n"/>
      <c r="J812" s="12">
        <f>IF(AND(ISNUMBER(F812),I812&lt;&gt;""),IFERROR(IF(AND(INDEX(Брони!$F$2:$F$500,MATCH(F812,Брони!$A$2:$A$500,0))="Возвращена",I812&gt;INDEX(Брони!$E$2:$E$500,MATCH(F812,Брони!$A$2:$A$500,0))),"Да",""),""),"")</f>
        <v/>
      </c>
      <c r="K812" s="10" t="n"/>
      <c r="L812" s="14" t="n"/>
      <c r="M812" s="15">
        <f>IF(OR(A812="",B812=""),"",IF(AND(ISNUMBER(F812),H812&lt;&gt;"Компания"),D812+L812,0))</f>
        <v/>
      </c>
      <c r="N812" s="21">
        <f>SUMPRODUCT(MAX((Брони!$B$2:$B$500=B812)*((Брони!$F$2:$F$500="Выдана")+(Брони!$F$2:$F$500="Возвращена"))*(Брони!$D$2:$D$500&lt;=A812)*Брони!$D$2:$D$500))</f>
        <v/>
      </c>
      <c r="O812" s="19">
        <f>SUMPRODUCT((Брони!$B$2:$B$500=B812)*(Брони!$D$2:$D$500=N812)*((((Брони!$F$2:$F$500="Выдана")*NOW())+((Брони!$F$2:$F$500="Возвращена")*Брони!$E$2:$E$500))&gt;=A812)*Брони!$A$2:$A$500)</f>
        <v/>
      </c>
      <c r="P812" s="19">
        <f>SUMPRODUCT((Брони!$B$2:$B$500=B812)*(Брони!$D$2:$D$500=N812)*(((Брони!$F$2:$F$500="Выдана")+(Брони!$F$2:$F$500="Возвращена"))))</f>
        <v/>
      </c>
      <c r="Q812" s="10" t="n"/>
    </row>
    <row r="813">
      <c r="A813" s="11" t="n"/>
      <c r="B813" s="10" t="n"/>
      <c r="C813" s="10" t="n"/>
      <c r="D813" s="14" t="n"/>
      <c r="E813" s="10" t="n"/>
      <c r="F813" s="20">
        <f>IF(OR(A813="",B813=""),"",IF(OR(NOT(ISNUMBER(A813)),ISERROR(N813+O813+P813)),"Проверьте даты",IF(AND(N813&gt;0,P813&gt;1),"Дубль",IF(AND(N813&gt;0,O813&gt;0),O813,"Вне аренды"))))</f>
        <v/>
      </c>
      <c r="G813" s="12">
        <f>IF(ISNUMBER(F813),IFERROR(INDEX(Брони!$C$2:$C$500,MATCH(F813,Брони!$A$2:$A$500,0)),""),"")</f>
        <v/>
      </c>
      <c r="H813" s="10" t="n"/>
      <c r="I813" s="18" t="n"/>
      <c r="J813" s="12">
        <f>IF(AND(ISNUMBER(F813),I813&lt;&gt;""),IFERROR(IF(AND(INDEX(Брони!$F$2:$F$500,MATCH(F813,Брони!$A$2:$A$500,0))="Возвращена",I813&gt;INDEX(Брони!$E$2:$E$500,MATCH(F813,Брони!$A$2:$A$500,0))),"Да",""),""),"")</f>
        <v/>
      </c>
      <c r="K813" s="10" t="n"/>
      <c r="L813" s="14" t="n"/>
      <c r="M813" s="15">
        <f>IF(OR(A813="",B813=""),"",IF(AND(ISNUMBER(F813),H813&lt;&gt;"Компания"),D813+L813,0))</f>
        <v/>
      </c>
      <c r="N813" s="21">
        <f>SUMPRODUCT(MAX((Брони!$B$2:$B$500=B813)*((Брони!$F$2:$F$500="Выдана")+(Брони!$F$2:$F$500="Возвращена"))*(Брони!$D$2:$D$500&lt;=A813)*Брони!$D$2:$D$500))</f>
        <v/>
      </c>
      <c r="O813" s="19">
        <f>SUMPRODUCT((Брони!$B$2:$B$500=B813)*(Брони!$D$2:$D$500=N813)*((((Брони!$F$2:$F$500="Выдана")*NOW())+((Брони!$F$2:$F$500="Возвращена")*Брони!$E$2:$E$500))&gt;=A813)*Брони!$A$2:$A$500)</f>
        <v/>
      </c>
      <c r="P813" s="19">
        <f>SUMPRODUCT((Брони!$B$2:$B$500=B813)*(Брони!$D$2:$D$500=N813)*(((Брони!$F$2:$F$500="Выдана")+(Брони!$F$2:$F$500="Возвращена"))))</f>
        <v/>
      </c>
      <c r="Q813" s="10" t="n"/>
    </row>
    <row r="814">
      <c r="A814" s="11" t="n"/>
      <c r="B814" s="10" t="n"/>
      <c r="C814" s="10" t="n"/>
      <c r="D814" s="14" t="n"/>
      <c r="E814" s="10" t="n"/>
      <c r="F814" s="20">
        <f>IF(OR(A814="",B814=""),"",IF(OR(NOT(ISNUMBER(A814)),ISERROR(N814+O814+P814)),"Проверьте даты",IF(AND(N814&gt;0,P814&gt;1),"Дубль",IF(AND(N814&gt;0,O814&gt;0),O814,"Вне аренды"))))</f>
        <v/>
      </c>
      <c r="G814" s="12">
        <f>IF(ISNUMBER(F814),IFERROR(INDEX(Брони!$C$2:$C$500,MATCH(F814,Брони!$A$2:$A$500,0)),""),"")</f>
        <v/>
      </c>
      <c r="H814" s="10" t="n"/>
      <c r="I814" s="18" t="n"/>
      <c r="J814" s="12">
        <f>IF(AND(ISNUMBER(F814),I814&lt;&gt;""),IFERROR(IF(AND(INDEX(Брони!$F$2:$F$500,MATCH(F814,Брони!$A$2:$A$500,0))="Возвращена",I814&gt;INDEX(Брони!$E$2:$E$500,MATCH(F814,Брони!$A$2:$A$500,0))),"Да",""),""),"")</f>
        <v/>
      </c>
      <c r="K814" s="10" t="n"/>
      <c r="L814" s="14" t="n"/>
      <c r="M814" s="15">
        <f>IF(OR(A814="",B814=""),"",IF(AND(ISNUMBER(F814),H814&lt;&gt;"Компания"),D814+L814,0))</f>
        <v/>
      </c>
      <c r="N814" s="21">
        <f>SUMPRODUCT(MAX((Брони!$B$2:$B$500=B814)*((Брони!$F$2:$F$500="Выдана")+(Брони!$F$2:$F$500="Возвращена"))*(Брони!$D$2:$D$500&lt;=A814)*Брони!$D$2:$D$500))</f>
        <v/>
      </c>
      <c r="O814" s="19">
        <f>SUMPRODUCT((Брони!$B$2:$B$500=B814)*(Брони!$D$2:$D$500=N814)*((((Брони!$F$2:$F$500="Выдана")*NOW())+((Брони!$F$2:$F$500="Возвращена")*Брони!$E$2:$E$500))&gt;=A814)*Брони!$A$2:$A$500)</f>
        <v/>
      </c>
      <c r="P814" s="19">
        <f>SUMPRODUCT((Брони!$B$2:$B$500=B814)*(Брони!$D$2:$D$500=N814)*(((Брони!$F$2:$F$500="Выдана")+(Брони!$F$2:$F$500="Возвращена"))))</f>
        <v/>
      </c>
      <c r="Q814" s="10" t="n"/>
    </row>
    <row r="815">
      <c r="A815" s="11" t="n"/>
      <c r="B815" s="10" t="n"/>
      <c r="C815" s="10" t="n"/>
      <c r="D815" s="14" t="n"/>
      <c r="E815" s="10" t="n"/>
      <c r="F815" s="20">
        <f>IF(OR(A815="",B815=""),"",IF(OR(NOT(ISNUMBER(A815)),ISERROR(N815+O815+P815)),"Проверьте даты",IF(AND(N815&gt;0,P815&gt;1),"Дубль",IF(AND(N815&gt;0,O815&gt;0),O815,"Вне аренды"))))</f>
        <v/>
      </c>
      <c r="G815" s="12">
        <f>IF(ISNUMBER(F815),IFERROR(INDEX(Брони!$C$2:$C$500,MATCH(F815,Брони!$A$2:$A$500,0)),""),"")</f>
        <v/>
      </c>
      <c r="H815" s="10" t="n"/>
      <c r="I815" s="18" t="n"/>
      <c r="J815" s="12">
        <f>IF(AND(ISNUMBER(F815),I815&lt;&gt;""),IFERROR(IF(AND(INDEX(Брони!$F$2:$F$500,MATCH(F815,Брони!$A$2:$A$500,0))="Возвращена",I815&gt;INDEX(Брони!$E$2:$E$500,MATCH(F815,Брони!$A$2:$A$500,0))),"Да",""),""),"")</f>
        <v/>
      </c>
      <c r="K815" s="10" t="n"/>
      <c r="L815" s="14" t="n"/>
      <c r="M815" s="15">
        <f>IF(OR(A815="",B815=""),"",IF(AND(ISNUMBER(F815),H815&lt;&gt;"Компания"),D815+L815,0))</f>
        <v/>
      </c>
      <c r="N815" s="21">
        <f>SUMPRODUCT(MAX((Брони!$B$2:$B$500=B815)*((Брони!$F$2:$F$500="Выдана")+(Брони!$F$2:$F$500="Возвращена"))*(Брони!$D$2:$D$500&lt;=A815)*Брони!$D$2:$D$500))</f>
        <v/>
      </c>
      <c r="O815" s="19">
        <f>SUMPRODUCT((Брони!$B$2:$B$500=B815)*(Брони!$D$2:$D$500=N815)*((((Брони!$F$2:$F$500="Выдана")*NOW())+((Брони!$F$2:$F$500="Возвращена")*Брони!$E$2:$E$500))&gt;=A815)*Брони!$A$2:$A$500)</f>
        <v/>
      </c>
      <c r="P815" s="19">
        <f>SUMPRODUCT((Брони!$B$2:$B$500=B815)*(Брони!$D$2:$D$500=N815)*(((Брони!$F$2:$F$500="Выдана")+(Брони!$F$2:$F$500="Возвращена"))))</f>
        <v/>
      </c>
      <c r="Q815" s="10" t="n"/>
    </row>
    <row r="816">
      <c r="A816" s="11" t="n"/>
      <c r="B816" s="10" t="n"/>
      <c r="C816" s="10" t="n"/>
      <c r="D816" s="14" t="n"/>
      <c r="E816" s="10" t="n"/>
      <c r="F816" s="20">
        <f>IF(OR(A816="",B816=""),"",IF(OR(NOT(ISNUMBER(A816)),ISERROR(N816+O816+P816)),"Проверьте даты",IF(AND(N816&gt;0,P816&gt;1),"Дубль",IF(AND(N816&gt;0,O816&gt;0),O816,"Вне аренды"))))</f>
        <v/>
      </c>
      <c r="G816" s="12">
        <f>IF(ISNUMBER(F816),IFERROR(INDEX(Брони!$C$2:$C$500,MATCH(F816,Брони!$A$2:$A$500,0)),""),"")</f>
        <v/>
      </c>
      <c r="H816" s="10" t="n"/>
      <c r="I816" s="18" t="n"/>
      <c r="J816" s="12">
        <f>IF(AND(ISNUMBER(F816),I816&lt;&gt;""),IFERROR(IF(AND(INDEX(Брони!$F$2:$F$500,MATCH(F816,Брони!$A$2:$A$500,0))="Возвращена",I816&gt;INDEX(Брони!$E$2:$E$500,MATCH(F816,Брони!$A$2:$A$500,0))),"Да",""),""),"")</f>
        <v/>
      </c>
      <c r="K816" s="10" t="n"/>
      <c r="L816" s="14" t="n"/>
      <c r="M816" s="15">
        <f>IF(OR(A816="",B816=""),"",IF(AND(ISNUMBER(F816),H816&lt;&gt;"Компания"),D816+L816,0))</f>
        <v/>
      </c>
      <c r="N816" s="21">
        <f>SUMPRODUCT(MAX((Брони!$B$2:$B$500=B816)*((Брони!$F$2:$F$500="Выдана")+(Брони!$F$2:$F$500="Возвращена"))*(Брони!$D$2:$D$500&lt;=A816)*Брони!$D$2:$D$500))</f>
        <v/>
      </c>
      <c r="O816" s="19">
        <f>SUMPRODUCT((Брони!$B$2:$B$500=B816)*(Брони!$D$2:$D$500=N816)*((((Брони!$F$2:$F$500="Выдана")*NOW())+((Брони!$F$2:$F$500="Возвращена")*Брони!$E$2:$E$500))&gt;=A816)*Брони!$A$2:$A$500)</f>
        <v/>
      </c>
      <c r="P816" s="19">
        <f>SUMPRODUCT((Брони!$B$2:$B$500=B816)*(Брони!$D$2:$D$500=N816)*(((Брони!$F$2:$F$500="Выдана")+(Брони!$F$2:$F$500="Возвращена"))))</f>
        <v/>
      </c>
      <c r="Q816" s="10" t="n"/>
    </row>
    <row r="817">
      <c r="A817" s="11" t="n"/>
      <c r="B817" s="10" t="n"/>
      <c r="C817" s="10" t="n"/>
      <c r="D817" s="14" t="n"/>
      <c r="E817" s="10" t="n"/>
      <c r="F817" s="20">
        <f>IF(OR(A817="",B817=""),"",IF(OR(NOT(ISNUMBER(A817)),ISERROR(N817+O817+P817)),"Проверьте даты",IF(AND(N817&gt;0,P817&gt;1),"Дубль",IF(AND(N817&gt;0,O817&gt;0),O817,"Вне аренды"))))</f>
        <v/>
      </c>
      <c r="G817" s="12">
        <f>IF(ISNUMBER(F817),IFERROR(INDEX(Брони!$C$2:$C$500,MATCH(F817,Брони!$A$2:$A$500,0)),""),"")</f>
        <v/>
      </c>
      <c r="H817" s="10" t="n"/>
      <c r="I817" s="18" t="n"/>
      <c r="J817" s="12">
        <f>IF(AND(ISNUMBER(F817),I817&lt;&gt;""),IFERROR(IF(AND(INDEX(Брони!$F$2:$F$500,MATCH(F817,Брони!$A$2:$A$500,0))="Возвращена",I817&gt;INDEX(Брони!$E$2:$E$500,MATCH(F817,Брони!$A$2:$A$500,0))),"Да",""),""),"")</f>
        <v/>
      </c>
      <c r="K817" s="10" t="n"/>
      <c r="L817" s="14" t="n"/>
      <c r="M817" s="15">
        <f>IF(OR(A817="",B817=""),"",IF(AND(ISNUMBER(F817),H817&lt;&gt;"Компания"),D817+L817,0))</f>
        <v/>
      </c>
      <c r="N817" s="21">
        <f>SUMPRODUCT(MAX((Брони!$B$2:$B$500=B817)*((Брони!$F$2:$F$500="Выдана")+(Брони!$F$2:$F$500="Возвращена"))*(Брони!$D$2:$D$500&lt;=A817)*Брони!$D$2:$D$500))</f>
        <v/>
      </c>
      <c r="O817" s="19">
        <f>SUMPRODUCT((Брони!$B$2:$B$500=B817)*(Брони!$D$2:$D$500=N817)*((((Брони!$F$2:$F$500="Выдана")*NOW())+((Брони!$F$2:$F$500="Возвращена")*Брони!$E$2:$E$500))&gt;=A817)*Брони!$A$2:$A$500)</f>
        <v/>
      </c>
      <c r="P817" s="19">
        <f>SUMPRODUCT((Брони!$B$2:$B$500=B817)*(Брони!$D$2:$D$500=N817)*(((Брони!$F$2:$F$500="Выдана")+(Брони!$F$2:$F$500="Возвращена"))))</f>
        <v/>
      </c>
      <c r="Q817" s="10" t="n"/>
    </row>
    <row r="818">
      <c r="A818" s="11" t="n"/>
      <c r="B818" s="10" t="n"/>
      <c r="C818" s="10" t="n"/>
      <c r="D818" s="14" t="n"/>
      <c r="E818" s="10" t="n"/>
      <c r="F818" s="20">
        <f>IF(OR(A818="",B818=""),"",IF(OR(NOT(ISNUMBER(A818)),ISERROR(N818+O818+P818)),"Проверьте даты",IF(AND(N818&gt;0,P818&gt;1),"Дубль",IF(AND(N818&gt;0,O818&gt;0),O818,"Вне аренды"))))</f>
        <v/>
      </c>
      <c r="G818" s="12">
        <f>IF(ISNUMBER(F818),IFERROR(INDEX(Брони!$C$2:$C$500,MATCH(F818,Брони!$A$2:$A$500,0)),""),"")</f>
        <v/>
      </c>
      <c r="H818" s="10" t="n"/>
      <c r="I818" s="18" t="n"/>
      <c r="J818" s="12">
        <f>IF(AND(ISNUMBER(F818),I818&lt;&gt;""),IFERROR(IF(AND(INDEX(Брони!$F$2:$F$500,MATCH(F818,Брони!$A$2:$A$500,0))="Возвращена",I818&gt;INDEX(Брони!$E$2:$E$500,MATCH(F818,Брони!$A$2:$A$500,0))),"Да",""),""),"")</f>
        <v/>
      </c>
      <c r="K818" s="10" t="n"/>
      <c r="L818" s="14" t="n"/>
      <c r="M818" s="15">
        <f>IF(OR(A818="",B818=""),"",IF(AND(ISNUMBER(F818),H818&lt;&gt;"Компания"),D818+L818,0))</f>
        <v/>
      </c>
      <c r="N818" s="21">
        <f>SUMPRODUCT(MAX((Брони!$B$2:$B$500=B818)*((Брони!$F$2:$F$500="Выдана")+(Брони!$F$2:$F$500="Возвращена"))*(Брони!$D$2:$D$500&lt;=A818)*Брони!$D$2:$D$500))</f>
        <v/>
      </c>
      <c r="O818" s="19">
        <f>SUMPRODUCT((Брони!$B$2:$B$500=B818)*(Брони!$D$2:$D$500=N818)*((((Брони!$F$2:$F$500="Выдана")*NOW())+((Брони!$F$2:$F$500="Возвращена")*Брони!$E$2:$E$500))&gt;=A818)*Брони!$A$2:$A$500)</f>
        <v/>
      </c>
      <c r="P818" s="19">
        <f>SUMPRODUCT((Брони!$B$2:$B$500=B818)*(Брони!$D$2:$D$500=N818)*(((Брони!$F$2:$F$500="Выдана")+(Брони!$F$2:$F$500="Возвращена"))))</f>
        <v/>
      </c>
      <c r="Q818" s="10" t="n"/>
    </row>
    <row r="819">
      <c r="A819" s="11" t="n"/>
      <c r="B819" s="10" t="n"/>
      <c r="C819" s="10" t="n"/>
      <c r="D819" s="14" t="n"/>
      <c r="E819" s="10" t="n"/>
      <c r="F819" s="20">
        <f>IF(OR(A819="",B819=""),"",IF(OR(NOT(ISNUMBER(A819)),ISERROR(N819+O819+P819)),"Проверьте даты",IF(AND(N819&gt;0,P819&gt;1),"Дубль",IF(AND(N819&gt;0,O819&gt;0),O819,"Вне аренды"))))</f>
        <v/>
      </c>
      <c r="G819" s="12">
        <f>IF(ISNUMBER(F819),IFERROR(INDEX(Брони!$C$2:$C$500,MATCH(F819,Брони!$A$2:$A$500,0)),""),"")</f>
        <v/>
      </c>
      <c r="H819" s="10" t="n"/>
      <c r="I819" s="18" t="n"/>
      <c r="J819" s="12">
        <f>IF(AND(ISNUMBER(F819),I819&lt;&gt;""),IFERROR(IF(AND(INDEX(Брони!$F$2:$F$500,MATCH(F819,Брони!$A$2:$A$500,0))="Возвращена",I819&gt;INDEX(Брони!$E$2:$E$500,MATCH(F819,Брони!$A$2:$A$500,0))),"Да",""),""),"")</f>
        <v/>
      </c>
      <c r="K819" s="10" t="n"/>
      <c r="L819" s="14" t="n"/>
      <c r="M819" s="15">
        <f>IF(OR(A819="",B819=""),"",IF(AND(ISNUMBER(F819),H819&lt;&gt;"Компания"),D819+L819,0))</f>
        <v/>
      </c>
      <c r="N819" s="21">
        <f>SUMPRODUCT(MAX((Брони!$B$2:$B$500=B819)*((Брони!$F$2:$F$500="Выдана")+(Брони!$F$2:$F$500="Возвращена"))*(Брони!$D$2:$D$500&lt;=A819)*Брони!$D$2:$D$500))</f>
        <v/>
      </c>
      <c r="O819" s="19">
        <f>SUMPRODUCT((Брони!$B$2:$B$500=B819)*(Брони!$D$2:$D$500=N819)*((((Брони!$F$2:$F$500="Выдана")*NOW())+((Брони!$F$2:$F$500="Возвращена")*Брони!$E$2:$E$500))&gt;=A819)*Брони!$A$2:$A$500)</f>
        <v/>
      </c>
      <c r="P819" s="19">
        <f>SUMPRODUCT((Брони!$B$2:$B$500=B819)*(Брони!$D$2:$D$500=N819)*(((Брони!$F$2:$F$500="Выдана")+(Брони!$F$2:$F$500="Возвращена"))))</f>
        <v/>
      </c>
      <c r="Q819" s="10" t="n"/>
    </row>
    <row r="820">
      <c r="A820" s="11" t="n"/>
      <c r="B820" s="10" t="n"/>
      <c r="C820" s="10" t="n"/>
      <c r="D820" s="14" t="n"/>
      <c r="E820" s="10" t="n"/>
      <c r="F820" s="20">
        <f>IF(OR(A820="",B820=""),"",IF(OR(NOT(ISNUMBER(A820)),ISERROR(N820+O820+P820)),"Проверьте даты",IF(AND(N820&gt;0,P820&gt;1),"Дубль",IF(AND(N820&gt;0,O820&gt;0),O820,"Вне аренды"))))</f>
        <v/>
      </c>
      <c r="G820" s="12">
        <f>IF(ISNUMBER(F820),IFERROR(INDEX(Брони!$C$2:$C$500,MATCH(F820,Брони!$A$2:$A$500,0)),""),"")</f>
        <v/>
      </c>
      <c r="H820" s="10" t="n"/>
      <c r="I820" s="18" t="n"/>
      <c r="J820" s="12">
        <f>IF(AND(ISNUMBER(F820),I820&lt;&gt;""),IFERROR(IF(AND(INDEX(Брони!$F$2:$F$500,MATCH(F820,Брони!$A$2:$A$500,0))="Возвращена",I820&gt;INDEX(Брони!$E$2:$E$500,MATCH(F820,Брони!$A$2:$A$500,0))),"Да",""),""),"")</f>
        <v/>
      </c>
      <c r="K820" s="10" t="n"/>
      <c r="L820" s="14" t="n"/>
      <c r="M820" s="15">
        <f>IF(OR(A820="",B820=""),"",IF(AND(ISNUMBER(F820),H820&lt;&gt;"Компания"),D820+L820,0))</f>
        <v/>
      </c>
      <c r="N820" s="21">
        <f>SUMPRODUCT(MAX((Брони!$B$2:$B$500=B820)*((Брони!$F$2:$F$500="Выдана")+(Брони!$F$2:$F$500="Возвращена"))*(Брони!$D$2:$D$500&lt;=A820)*Брони!$D$2:$D$500))</f>
        <v/>
      </c>
      <c r="O820" s="19">
        <f>SUMPRODUCT((Брони!$B$2:$B$500=B820)*(Брони!$D$2:$D$500=N820)*((((Брони!$F$2:$F$500="Выдана")*NOW())+((Брони!$F$2:$F$500="Возвращена")*Брони!$E$2:$E$500))&gt;=A820)*Брони!$A$2:$A$500)</f>
        <v/>
      </c>
      <c r="P820" s="19">
        <f>SUMPRODUCT((Брони!$B$2:$B$500=B820)*(Брони!$D$2:$D$500=N820)*(((Брони!$F$2:$F$500="Выдана")+(Брони!$F$2:$F$500="Возвращена"))))</f>
        <v/>
      </c>
      <c r="Q820" s="10" t="n"/>
    </row>
    <row r="821">
      <c r="A821" s="11" t="n"/>
      <c r="B821" s="10" t="n"/>
      <c r="C821" s="10" t="n"/>
      <c r="D821" s="14" t="n"/>
      <c r="E821" s="10" t="n"/>
      <c r="F821" s="20">
        <f>IF(OR(A821="",B821=""),"",IF(OR(NOT(ISNUMBER(A821)),ISERROR(N821+O821+P821)),"Проверьте даты",IF(AND(N821&gt;0,P821&gt;1),"Дубль",IF(AND(N821&gt;0,O821&gt;0),O821,"Вне аренды"))))</f>
        <v/>
      </c>
      <c r="G821" s="12">
        <f>IF(ISNUMBER(F821),IFERROR(INDEX(Брони!$C$2:$C$500,MATCH(F821,Брони!$A$2:$A$500,0)),""),"")</f>
        <v/>
      </c>
      <c r="H821" s="10" t="n"/>
      <c r="I821" s="18" t="n"/>
      <c r="J821" s="12">
        <f>IF(AND(ISNUMBER(F821),I821&lt;&gt;""),IFERROR(IF(AND(INDEX(Брони!$F$2:$F$500,MATCH(F821,Брони!$A$2:$A$500,0))="Возвращена",I821&gt;INDEX(Брони!$E$2:$E$500,MATCH(F821,Брони!$A$2:$A$500,0))),"Да",""),""),"")</f>
        <v/>
      </c>
      <c r="K821" s="10" t="n"/>
      <c r="L821" s="14" t="n"/>
      <c r="M821" s="15">
        <f>IF(OR(A821="",B821=""),"",IF(AND(ISNUMBER(F821),H821&lt;&gt;"Компания"),D821+L821,0))</f>
        <v/>
      </c>
      <c r="N821" s="21">
        <f>SUMPRODUCT(MAX((Брони!$B$2:$B$500=B821)*((Брони!$F$2:$F$500="Выдана")+(Брони!$F$2:$F$500="Возвращена"))*(Брони!$D$2:$D$500&lt;=A821)*Брони!$D$2:$D$500))</f>
        <v/>
      </c>
      <c r="O821" s="19">
        <f>SUMPRODUCT((Брони!$B$2:$B$500=B821)*(Брони!$D$2:$D$500=N821)*((((Брони!$F$2:$F$500="Выдана")*NOW())+((Брони!$F$2:$F$500="Возвращена")*Брони!$E$2:$E$500))&gt;=A821)*Брони!$A$2:$A$500)</f>
        <v/>
      </c>
      <c r="P821" s="19">
        <f>SUMPRODUCT((Брони!$B$2:$B$500=B821)*(Брони!$D$2:$D$500=N821)*(((Брони!$F$2:$F$500="Выдана")+(Брони!$F$2:$F$500="Возвращена"))))</f>
        <v/>
      </c>
      <c r="Q821" s="10" t="n"/>
    </row>
    <row r="822">
      <c r="A822" s="11" t="n"/>
      <c r="B822" s="10" t="n"/>
      <c r="C822" s="10" t="n"/>
      <c r="D822" s="14" t="n"/>
      <c r="E822" s="10" t="n"/>
      <c r="F822" s="20">
        <f>IF(OR(A822="",B822=""),"",IF(OR(NOT(ISNUMBER(A822)),ISERROR(N822+O822+P822)),"Проверьте даты",IF(AND(N822&gt;0,P822&gt;1),"Дубль",IF(AND(N822&gt;0,O822&gt;0),O822,"Вне аренды"))))</f>
        <v/>
      </c>
      <c r="G822" s="12">
        <f>IF(ISNUMBER(F822),IFERROR(INDEX(Брони!$C$2:$C$500,MATCH(F822,Брони!$A$2:$A$500,0)),""),"")</f>
        <v/>
      </c>
      <c r="H822" s="10" t="n"/>
      <c r="I822" s="18" t="n"/>
      <c r="J822" s="12">
        <f>IF(AND(ISNUMBER(F822),I822&lt;&gt;""),IFERROR(IF(AND(INDEX(Брони!$F$2:$F$500,MATCH(F822,Брони!$A$2:$A$500,0))="Возвращена",I822&gt;INDEX(Брони!$E$2:$E$500,MATCH(F822,Брони!$A$2:$A$500,0))),"Да",""),""),"")</f>
        <v/>
      </c>
      <c r="K822" s="10" t="n"/>
      <c r="L822" s="14" t="n"/>
      <c r="M822" s="15">
        <f>IF(OR(A822="",B822=""),"",IF(AND(ISNUMBER(F822),H822&lt;&gt;"Компания"),D822+L822,0))</f>
        <v/>
      </c>
      <c r="N822" s="21">
        <f>SUMPRODUCT(MAX((Брони!$B$2:$B$500=B822)*((Брони!$F$2:$F$500="Выдана")+(Брони!$F$2:$F$500="Возвращена"))*(Брони!$D$2:$D$500&lt;=A822)*Брони!$D$2:$D$500))</f>
        <v/>
      </c>
      <c r="O822" s="19">
        <f>SUMPRODUCT((Брони!$B$2:$B$500=B822)*(Брони!$D$2:$D$500=N822)*((((Брони!$F$2:$F$500="Выдана")*NOW())+((Брони!$F$2:$F$500="Возвращена")*Брони!$E$2:$E$500))&gt;=A822)*Брони!$A$2:$A$500)</f>
        <v/>
      </c>
      <c r="P822" s="19">
        <f>SUMPRODUCT((Брони!$B$2:$B$500=B822)*(Брони!$D$2:$D$500=N822)*(((Брони!$F$2:$F$500="Выдана")+(Брони!$F$2:$F$500="Возвращена"))))</f>
        <v/>
      </c>
      <c r="Q822" s="10" t="n"/>
    </row>
    <row r="823">
      <c r="A823" s="11" t="n"/>
      <c r="B823" s="10" t="n"/>
      <c r="C823" s="10" t="n"/>
      <c r="D823" s="14" t="n"/>
      <c r="E823" s="10" t="n"/>
      <c r="F823" s="20">
        <f>IF(OR(A823="",B823=""),"",IF(OR(NOT(ISNUMBER(A823)),ISERROR(N823+O823+P823)),"Проверьте даты",IF(AND(N823&gt;0,P823&gt;1),"Дубль",IF(AND(N823&gt;0,O823&gt;0),O823,"Вне аренды"))))</f>
        <v/>
      </c>
      <c r="G823" s="12">
        <f>IF(ISNUMBER(F823),IFERROR(INDEX(Брони!$C$2:$C$500,MATCH(F823,Брони!$A$2:$A$500,0)),""),"")</f>
        <v/>
      </c>
      <c r="H823" s="10" t="n"/>
      <c r="I823" s="18" t="n"/>
      <c r="J823" s="12">
        <f>IF(AND(ISNUMBER(F823),I823&lt;&gt;""),IFERROR(IF(AND(INDEX(Брони!$F$2:$F$500,MATCH(F823,Брони!$A$2:$A$500,0))="Возвращена",I823&gt;INDEX(Брони!$E$2:$E$500,MATCH(F823,Брони!$A$2:$A$500,0))),"Да",""),""),"")</f>
        <v/>
      </c>
      <c r="K823" s="10" t="n"/>
      <c r="L823" s="14" t="n"/>
      <c r="M823" s="15">
        <f>IF(OR(A823="",B823=""),"",IF(AND(ISNUMBER(F823),H823&lt;&gt;"Компания"),D823+L823,0))</f>
        <v/>
      </c>
      <c r="N823" s="21">
        <f>SUMPRODUCT(MAX((Брони!$B$2:$B$500=B823)*((Брони!$F$2:$F$500="Выдана")+(Брони!$F$2:$F$500="Возвращена"))*(Брони!$D$2:$D$500&lt;=A823)*Брони!$D$2:$D$500))</f>
        <v/>
      </c>
      <c r="O823" s="19">
        <f>SUMPRODUCT((Брони!$B$2:$B$500=B823)*(Брони!$D$2:$D$500=N823)*((((Брони!$F$2:$F$500="Выдана")*NOW())+((Брони!$F$2:$F$500="Возвращена")*Брони!$E$2:$E$500))&gt;=A823)*Брони!$A$2:$A$500)</f>
        <v/>
      </c>
      <c r="P823" s="19">
        <f>SUMPRODUCT((Брони!$B$2:$B$500=B823)*(Брони!$D$2:$D$500=N823)*(((Брони!$F$2:$F$500="Выдана")+(Брони!$F$2:$F$500="Возвращена"))))</f>
        <v/>
      </c>
      <c r="Q823" s="10" t="n"/>
    </row>
    <row r="824">
      <c r="A824" s="11" t="n"/>
      <c r="B824" s="10" t="n"/>
      <c r="C824" s="10" t="n"/>
      <c r="D824" s="14" t="n"/>
      <c r="E824" s="10" t="n"/>
      <c r="F824" s="20">
        <f>IF(OR(A824="",B824=""),"",IF(OR(NOT(ISNUMBER(A824)),ISERROR(N824+O824+P824)),"Проверьте даты",IF(AND(N824&gt;0,P824&gt;1),"Дубль",IF(AND(N824&gt;0,O824&gt;0),O824,"Вне аренды"))))</f>
        <v/>
      </c>
      <c r="G824" s="12">
        <f>IF(ISNUMBER(F824),IFERROR(INDEX(Брони!$C$2:$C$500,MATCH(F824,Брони!$A$2:$A$500,0)),""),"")</f>
        <v/>
      </c>
      <c r="H824" s="10" t="n"/>
      <c r="I824" s="18" t="n"/>
      <c r="J824" s="12">
        <f>IF(AND(ISNUMBER(F824),I824&lt;&gt;""),IFERROR(IF(AND(INDEX(Брони!$F$2:$F$500,MATCH(F824,Брони!$A$2:$A$500,0))="Возвращена",I824&gt;INDEX(Брони!$E$2:$E$500,MATCH(F824,Брони!$A$2:$A$500,0))),"Да",""),""),"")</f>
        <v/>
      </c>
      <c r="K824" s="10" t="n"/>
      <c r="L824" s="14" t="n"/>
      <c r="M824" s="15">
        <f>IF(OR(A824="",B824=""),"",IF(AND(ISNUMBER(F824),H824&lt;&gt;"Компания"),D824+L824,0))</f>
        <v/>
      </c>
      <c r="N824" s="21">
        <f>SUMPRODUCT(MAX((Брони!$B$2:$B$500=B824)*((Брони!$F$2:$F$500="Выдана")+(Брони!$F$2:$F$500="Возвращена"))*(Брони!$D$2:$D$500&lt;=A824)*Брони!$D$2:$D$500))</f>
        <v/>
      </c>
      <c r="O824" s="19">
        <f>SUMPRODUCT((Брони!$B$2:$B$500=B824)*(Брони!$D$2:$D$500=N824)*((((Брони!$F$2:$F$500="Выдана")*NOW())+((Брони!$F$2:$F$500="Возвращена")*Брони!$E$2:$E$500))&gt;=A824)*Брони!$A$2:$A$500)</f>
        <v/>
      </c>
      <c r="P824" s="19">
        <f>SUMPRODUCT((Брони!$B$2:$B$500=B824)*(Брони!$D$2:$D$500=N824)*(((Брони!$F$2:$F$500="Выдана")+(Брони!$F$2:$F$500="Возвращена"))))</f>
        <v/>
      </c>
      <c r="Q824" s="10" t="n"/>
    </row>
    <row r="825">
      <c r="A825" s="11" t="n"/>
      <c r="B825" s="10" t="n"/>
      <c r="C825" s="10" t="n"/>
      <c r="D825" s="14" t="n"/>
      <c r="E825" s="10" t="n"/>
      <c r="F825" s="20">
        <f>IF(OR(A825="",B825=""),"",IF(OR(NOT(ISNUMBER(A825)),ISERROR(N825+O825+P825)),"Проверьте даты",IF(AND(N825&gt;0,P825&gt;1),"Дубль",IF(AND(N825&gt;0,O825&gt;0),O825,"Вне аренды"))))</f>
        <v/>
      </c>
      <c r="G825" s="12">
        <f>IF(ISNUMBER(F825),IFERROR(INDEX(Брони!$C$2:$C$500,MATCH(F825,Брони!$A$2:$A$500,0)),""),"")</f>
        <v/>
      </c>
      <c r="H825" s="10" t="n"/>
      <c r="I825" s="18" t="n"/>
      <c r="J825" s="12">
        <f>IF(AND(ISNUMBER(F825),I825&lt;&gt;""),IFERROR(IF(AND(INDEX(Брони!$F$2:$F$500,MATCH(F825,Брони!$A$2:$A$500,0))="Возвращена",I825&gt;INDEX(Брони!$E$2:$E$500,MATCH(F825,Брони!$A$2:$A$500,0))),"Да",""),""),"")</f>
        <v/>
      </c>
      <c r="K825" s="10" t="n"/>
      <c r="L825" s="14" t="n"/>
      <c r="M825" s="15">
        <f>IF(OR(A825="",B825=""),"",IF(AND(ISNUMBER(F825),H825&lt;&gt;"Компания"),D825+L825,0))</f>
        <v/>
      </c>
      <c r="N825" s="21">
        <f>SUMPRODUCT(MAX((Брони!$B$2:$B$500=B825)*((Брони!$F$2:$F$500="Выдана")+(Брони!$F$2:$F$500="Возвращена"))*(Брони!$D$2:$D$500&lt;=A825)*Брони!$D$2:$D$500))</f>
        <v/>
      </c>
      <c r="O825" s="19">
        <f>SUMPRODUCT((Брони!$B$2:$B$500=B825)*(Брони!$D$2:$D$500=N825)*((((Брони!$F$2:$F$500="Выдана")*NOW())+((Брони!$F$2:$F$500="Возвращена")*Брони!$E$2:$E$500))&gt;=A825)*Брони!$A$2:$A$500)</f>
        <v/>
      </c>
      <c r="P825" s="19">
        <f>SUMPRODUCT((Брони!$B$2:$B$500=B825)*(Брони!$D$2:$D$500=N825)*(((Брони!$F$2:$F$500="Выдана")+(Брони!$F$2:$F$500="Возвращена"))))</f>
        <v/>
      </c>
      <c r="Q825" s="10" t="n"/>
    </row>
    <row r="826">
      <c r="A826" s="11" t="n"/>
      <c r="B826" s="10" t="n"/>
      <c r="C826" s="10" t="n"/>
      <c r="D826" s="14" t="n"/>
      <c r="E826" s="10" t="n"/>
      <c r="F826" s="20">
        <f>IF(OR(A826="",B826=""),"",IF(OR(NOT(ISNUMBER(A826)),ISERROR(N826+O826+P826)),"Проверьте даты",IF(AND(N826&gt;0,P826&gt;1),"Дубль",IF(AND(N826&gt;0,O826&gt;0),O826,"Вне аренды"))))</f>
        <v/>
      </c>
      <c r="G826" s="12">
        <f>IF(ISNUMBER(F826),IFERROR(INDEX(Брони!$C$2:$C$500,MATCH(F826,Брони!$A$2:$A$500,0)),""),"")</f>
        <v/>
      </c>
      <c r="H826" s="10" t="n"/>
      <c r="I826" s="18" t="n"/>
      <c r="J826" s="12">
        <f>IF(AND(ISNUMBER(F826),I826&lt;&gt;""),IFERROR(IF(AND(INDEX(Брони!$F$2:$F$500,MATCH(F826,Брони!$A$2:$A$500,0))="Возвращена",I826&gt;INDEX(Брони!$E$2:$E$500,MATCH(F826,Брони!$A$2:$A$500,0))),"Да",""),""),"")</f>
        <v/>
      </c>
      <c r="K826" s="10" t="n"/>
      <c r="L826" s="14" t="n"/>
      <c r="M826" s="15">
        <f>IF(OR(A826="",B826=""),"",IF(AND(ISNUMBER(F826),H826&lt;&gt;"Компания"),D826+L826,0))</f>
        <v/>
      </c>
      <c r="N826" s="21">
        <f>SUMPRODUCT(MAX((Брони!$B$2:$B$500=B826)*((Брони!$F$2:$F$500="Выдана")+(Брони!$F$2:$F$500="Возвращена"))*(Брони!$D$2:$D$500&lt;=A826)*Брони!$D$2:$D$500))</f>
        <v/>
      </c>
      <c r="O826" s="19">
        <f>SUMPRODUCT((Брони!$B$2:$B$500=B826)*(Брони!$D$2:$D$500=N826)*((((Брони!$F$2:$F$500="Выдана")*NOW())+((Брони!$F$2:$F$500="Возвращена")*Брони!$E$2:$E$500))&gt;=A826)*Брони!$A$2:$A$500)</f>
        <v/>
      </c>
      <c r="P826" s="19">
        <f>SUMPRODUCT((Брони!$B$2:$B$500=B826)*(Брони!$D$2:$D$500=N826)*(((Брони!$F$2:$F$500="Выдана")+(Брони!$F$2:$F$500="Возвращена"))))</f>
        <v/>
      </c>
      <c r="Q826" s="10" t="n"/>
    </row>
    <row r="827">
      <c r="A827" s="11" t="n"/>
      <c r="B827" s="10" t="n"/>
      <c r="C827" s="10" t="n"/>
      <c r="D827" s="14" t="n"/>
      <c r="E827" s="10" t="n"/>
      <c r="F827" s="20">
        <f>IF(OR(A827="",B827=""),"",IF(OR(NOT(ISNUMBER(A827)),ISERROR(N827+O827+P827)),"Проверьте даты",IF(AND(N827&gt;0,P827&gt;1),"Дубль",IF(AND(N827&gt;0,O827&gt;0),O827,"Вне аренды"))))</f>
        <v/>
      </c>
      <c r="G827" s="12">
        <f>IF(ISNUMBER(F827),IFERROR(INDEX(Брони!$C$2:$C$500,MATCH(F827,Брони!$A$2:$A$500,0)),""),"")</f>
        <v/>
      </c>
      <c r="H827" s="10" t="n"/>
      <c r="I827" s="18" t="n"/>
      <c r="J827" s="12">
        <f>IF(AND(ISNUMBER(F827),I827&lt;&gt;""),IFERROR(IF(AND(INDEX(Брони!$F$2:$F$500,MATCH(F827,Брони!$A$2:$A$500,0))="Возвращена",I827&gt;INDEX(Брони!$E$2:$E$500,MATCH(F827,Брони!$A$2:$A$500,0))),"Да",""),""),"")</f>
        <v/>
      </c>
      <c r="K827" s="10" t="n"/>
      <c r="L827" s="14" t="n"/>
      <c r="M827" s="15">
        <f>IF(OR(A827="",B827=""),"",IF(AND(ISNUMBER(F827),H827&lt;&gt;"Компания"),D827+L827,0))</f>
        <v/>
      </c>
      <c r="N827" s="21">
        <f>SUMPRODUCT(MAX((Брони!$B$2:$B$500=B827)*((Брони!$F$2:$F$500="Выдана")+(Брони!$F$2:$F$500="Возвращена"))*(Брони!$D$2:$D$500&lt;=A827)*Брони!$D$2:$D$500))</f>
        <v/>
      </c>
      <c r="O827" s="19">
        <f>SUMPRODUCT((Брони!$B$2:$B$500=B827)*(Брони!$D$2:$D$500=N827)*((((Брони!$F$2:$F$500="Выдана")*NOW())+((Брони!$F$2:$F$500="Возвращена")*Брони!$E$2:$E$500))&gt;=A827)*Брони!$A$2:$A$500)</f>
        <v/>
      </c>
      <c r="P827" s="19">
        <f>SUMPRODUCT((Брони!$B$2:$B$500=B827)*(Брони!$D$2:$D$500=N827)*(((Брони!$F$2:$F$500="Выдана")+(Брони!$F$2:$F$500="Возвращена"))))</f>
        <v/>
      </c>
      <c r="Q827" s="10" t="n"/>
    </row>
    <row r="828">
      <c r="A828" s="11" t="n"/>
      <c r="B828" s="10" t="n"/>
      <c r="C828" s="10" t="n"/>
      <c r="D828" s="14" t="n"/>
      <c r="E828" s="10" t="n"/>
      <c r="F828" s="20">
        <f>IF(OR(A828="",B828=""),"",IF(OR(NOT(ISNUMBER(A828)),ISERROR(N828+O828+P828)),"Проверьте даты",IF(AND(N828&gt;0,P828&gt;1),"Дубль",IF(AND(N828&gt;0,O828&gt;0),O828,"Вне аренды"))))</f>
        <v/>
      </c>
      <c r="G828" s="12">
        <f>IF(ISNUMBER(F828),IFERROR(INDEX(Брони!$C$2:$C$500,MATCH(F828,Брони!$A$2:$A$500,0)),""),"")</f>
        <v/>
      </c>
      <c r="H828" s="10" t="n"/>
      <c r="I828" s="18" t="n"/>
      <c r="J828" s="12">
        <f>IF(AND(ISNUMBER(F828),I828&lt;&gt;""),IFERROR(IF(AND(INDEX(Брони!$F$2:$F$500,MATCH(F828,Брони!$A$2:$A$500,0))="Возвращена",I828&gt;INDEX(Брони!$E$2:$E$500,MATCH(F828,Брони!$A$2:$A$500,0))),"Да",""),""),"")</f>
        <v/>
      </c>
      <c r="K828" s="10" t="n"/>
      <c r="L828" s="14" t="n"/>
      <c r="M828" s="15">
        <f>IF(OR(A828="",B828=""),"",IF(AND(ISNUMBER(F828),H828&lt;&gt;"Компания"),D828+L828,0))</f>
        <v/>
      </c>
      <c r="N828" s="21">
        <f>SUMPRODUCT(MAX((Брони!$B$2:$B$500=B828)*((Брони!$F$2:$F$500="Выдана")+(Брони!$F$2:$F$500="Возвращена"))*(Брони!$D$2:$D$500&lt;=A828)*Брони!$D$2:$D$500))</f>
        <v/>
      </c>
      <c r="O828" s="19">
        <f>SUMPRODUCT((Брони!$B$2:$B$500=B828)*(Брони!$D$2:$D$500=N828)*((((Брони!$F$2:$F$500="Выдана")*NOW())+((Брони!$F$2:$F$500="Возвращена")*Брони!$E$2:$E$500))&gt;=A828)*Брони!$A$2:$A$500)</f>
        <v/>
      </c>
      <c r="P828" s="19">
        <f>SUMPRODUCT((Брони!$B$2:$B$500=B828)*(Брони!$D$2:$D$500=N828)*(((Брони!$F$2:$F$500="Выдана")+(Брони!$F$2:$F$500="Возвращена"))))</f>
        <v/>
      </c>
      <c r="Q828" s="10" t="n"/>
    </row>
    <row r="829">
      <c r="A829" s="11" t="n"/>
      <c r="B829" s="10" t="n"/>
      <c r="C829" s="10" t="n"/>
      <c r="D829" s="14" t="n"/>
      <c r="E829" s="10" t="n"/>
      <c r="F829" s="20">
        <f>IF(OR(A829="",B829=""),"",IF(OR(NOT(ISNUMBER(A829)),ISERROR(N829+O829+P829)),"Проверьте даты",IF(AND(N829&gt;0,P829&gt;1),"Дубль",IF(AND(N829&gt;0,O829&gt;0),O829,"Вне аренды"))))</f>
        <v/>
      </c>
      <c r="G829" s="12">
        <f>IF(ISNUMBER(F829),IFERROR(INDEX(Брони!$C$2:$C$500,MATCH(F829,Брони!$A$2:$A$500,0)),""),"")</f>
        <v/>
      </c>
      <c r="H829" s="10" t="n"/>
      <c r="I829" s="18" t="n"/>
      <c r="J829" s="12">
        <f>IF(AND(ISNUMBER(F829),I829&lt;&gt;""),IFERROR(IF(AND(INDEX(Брони!$F$2:$F$500,MATCH(F829,Брони!$A$2:$A$500,0))="Возвращена",I829&gt;INDEX(Брони!$E$2:$E$500,MATCH(F829,Брони!$A$2:$A$500,0))),"Да",""),""),"")</f>
        <v/>
      </c>
      <c r="K829" s="10" t="n"/>
      <c r="L829" s="14" t="n"/>
      <c r="M829" s="15">
        <f>IF(OR(A829="",B829=""),"",IF(AND(ISNUMBER(F829),H829&lt;&gt;"Компания"),D829+L829,0))</f>
        <v/>
      </c>
      <c r="N829" s="21">
        <f>SUMPRODUCT(MAX((Брони!$B$2:$B$500=B829)*((Брони!$F$2:$F$500="Выдана")+(Брони!$F$2:$F$500="Возвращена"))*(Брони!$D$2:$D$500&lt;=A829)*Брони!$D$2:$D$500))</f>
        <v/>
      </c>
      <c r="O829" s="19">
        <f>SUMPRODUCT((Брони!$B$2:$B$500=B829)*(Брони!$D$2:$D$500=N829)*((((Брони!$F$2:$F$500="Выдана")*NOW())+((Брони!$F$2:$F$500="Возвращена")*Брони!$E$2:$E$500))&gt;=A829)*Брони!$A$2:$A$500)</f>
        <v/>
      </c>
      <c r="P829" s="19">
        <f>SUMPRODUCT((Брони!$B$2:$B$500=B829)*(Брони!$D$2:$D$500=N829)*(((Брони!$F$2:$F$500="Выдана")+(Брони!$F$2:$F$500="Возвращена"))))</f>
        <v/>
      </c>
      <c r="Q829" s="10" t="n"/>
    </row>
    <row r="830">
      <c r="A830" s="11" t="n"/>
      <c r="B830" s="10" t="n"/>
      <c r="C830" s="10" t="n"/>
      <c r="D830" s="14" t="n"/>
      <c r="E830" s="10" t="n"/>
      <c r="F830" s="20">
        <f>IF(OR(A830="",B830=""),"",IF(OR(NOT(ISNUMBER(A830)),ISERROR(N830+O830+P830)),"Проверьте даты",IF(AND(N830&gt;0,P830&gt;1),"Дубль",IF(AND(N830&gt;0,O830&gt;0),O830,"Вне аренды"))))</f>
        <v/>
      </c>
      <c r="G830" s="12">
        <f>IF(ISNUMBER(F830),IFERROR(INDEX(Брони!$C$2:$C$500,MATCH(F830,Брони!$A$2:$A$500,0)),""),"")</f>
        <v/>
      </c>
      <c r="H830" s="10" t="n"/>
      <c r="I830" s="18" t="n"/>
      <c r="J830" s="12">
        <f>IF(AND(ISNUMBER(F830),I830&lt;&gt;""),IFERROR(IF(AND(INDEX(Брони!$F$2:$F$500,MATCH(F830,Брони!$A$2:$A$500,0))="Возвращена",I830&gt;INDEX(Брони!$E$2:$E$500,MATCH(F830,Брони!$A$2:$A$500,0))),"Да",""),""),"")</f>
        <v/>
      </c>
      <c r="K830" s="10" t="n"/>
      <c r="L830" s="14" t="n"/>
      <c r="M830" s="15">
        <f>IF(OR(A830="",B830=""),"",IF(AND(ISNUMBER(F830),H830&lt;&gt;"Компания"),D830+L830,0))</f>
        <v/>
      </c>
      <c r="N830" s="21">
        <f>SUMPRODUCT(MAX((Брони!$B$2:$B$500=B830)*((Брони!$F$2:$F$500="Выдана")+(Брони!$F$2:$F$500="Возвращена"))*(Брони!$D$2:$D$500&lt;=A830)*Брони!$D$2:$D$500))</f>
        <v/>
      </c>
      <c r="O830" s="19">
        <f>SUMPRODUCT((Брони!$B$2:$B$500=B830)*(Брони!$D$2:$D$500=N830)*((((Брони!$F$2:$F$500="Выдана")*NOW())+((Брони!$F$2:$F$500="Возвращена")*Брони!$E$2:$E$500))&gt;=A830)*Брони!$A$2:$A$500)</f>
        <v/>
      </c>
      <c r="P830" s="19">
        <f>SUMPRODUCT((Брони!$B$2:$B$500=B830)*(Брони!$D$2:$D$500=N830)*(((Брони!$F$2:$F$500="Выдана")+(Брони!$F$2:$F$500="Возвращена"))))</f>
        <v/>
      </c>
      <c r="Q830" s="10" t="n"/>
    </row>
    <row r="831">
      <c r="A831" s="11" t="n"/>
      <c r="B831" s="10" t="n"/>
      <c r="C831" s="10" t="n"/>
      <c r="D831" s="14" t="n"/>
      <c r="E831" s="10" t="n"/>
      <c r="F831" s="20">
        <f>IF(OR(A831="",B831=""),"",IF(OR(NOT(ISNUMBER(A831)),ISERROR(N831+O831+P831)),"Проверьте даты",IF(AND(N831&gt;0,P831&gt;1),"Дубль",IF(AND(N831&gt;0,O831&gt;0),O831,"Вне аренды"))))</f>
        <v/>
      </c>
      <c r="G831" s="12">
        <f>IF(ISNUMBER(F831),IFERROR(INDEX(Брони!$C$2:$C$500,MATCH(F831,Брони!$A$2:$A$500,0)),""),"")</f>
        <v/>
      </c>
      <c r="H831" s="10" t="n"/>
      <c r="I831" s="18" t="n"/>
      <c r="J831" s="12">
        <f>IF(AND(ISNUMBER(F831),I831&lt;&gt;""),IFERROR(IF(AND(INDEX(Брони!$F$2:$F$500,MATCH(F831,Брони!$A$2:$A$500,0))="Возвращена",I831&gt;INDEX(Брони!$E$2:$E$500,MATCH(F831,Брони!$A$2:$A$500,0))),"Да",""),""),"")</f>
        <v/>
      </c>
      <c r="K831" s="10" t="n"/>
      <c r="L831" s="14" t="n"/>
      <c r="M831" s="15">
        <f>IF(OR(A831="",B831=""),"",IF(AND(ISNUMBER(F831),H831&lt;&gt;"Компания"),D831+L831,0))</f>
        <v/>
      </c>
      <c r="N831" s="21">
        <f>SUMPRODUCT(MAX((Брони!$B$2:$B$500=B831)*((Брони!$F$2:$F$500="Выдана")+(Брони!$F$2:$F$500="Возвращена"))*(Брони!$D$2:$D$500&lt;=A831)*Брони!$D$2:$D$500))</f>
        <v/>
      </c>
      <c r="O831" s="19">
        <f>SUMPRODUCT((Брони!$B$2:$B$500=B831)*(Брони!$D$2:$D$500=N831)*((((Брони!$F$2:$F$500="Выдана")*NOW())+((Брони!$F$2:$F$500="Возвращена")*Брони!$E$2:$E$500))&gt;=A831)*Брони!$A$2:$A$500)</f>
        <v/>
      </c>
      <c r="P831" s="19">
        <f>SUMPRODUCT((Брони!$B$2:$B$500=B831)*(Брони!$D$2:$D$500=N831)*(((Брони!$F$2:$F$500="Выдана")+(Брони!$F$2:$F$500="Возвращена"))))</f>
        <v/>
      </c>
      <c r="Q831" s="10" t="n"/>
    </row>
    <row r="832">
      <c r="A832" s="11" t="n"/>
      <c r="B832" s="10" t="n"/>
      <c r="C832" s="10" t="n"/>
      <c r="D832" s="14" t="n"/>
      <c r="E832" s="10" t="n"/>
      <c r="F832" s="20">
        <f>IF(OR(A832="",B832=""),"",IF(OR(NOT(ISNUMBER(A832)),ISERROR(N832+O832+P832)),"Проверьте даты",IF(AND(N832&gt;0,P832&gt;1),"Дубль",IF(AND(N832&gt;0,O832&gt;0),O832,"Вне аренды"))))</f>
        <v/>
      </c>
      <c r="G832" s="12">
        <f>IF(ISNUMBER(F832),IFERROR(INDEX(Брони!$C$2:$C$500,MATCH(F832,Брони!$A$2:$A$500,0)),""),"")</f>
        <v/>
      </c>
      <c r="H832" s="10" t="n"/>
      <c r="I832" s="18" t="n"/>
      <c r="J832" s="12">
        <f>IF(AND(ISNUMBER(F832),I832&lt;&gt;""),IFERROR(IF(AND(INDEX(Брони!$F$2:$F$500,MATCH(F832,Брони!$A$2:$A$500,0))="Возвращена",I832&gt;INDEX(Брони!$E$2:$E$500,MATCH(F832,Брони!$A$2:$A$500,0))),"Да",""),""),"")</f>
        <v/>
      </c>
      <c r="K832" s="10" t="n"/>
      <c r="L832" s="14" t="n"/>
      <c r="M832" s="15">
        <f>IF(OR(A832="",B832=""),"",IF(AND(ISNUMBER(F832),H832&lt;&gt;"Компания"),D832+L832,0))</f>
        <v/>
      </c>
      <c r="N832" s="21">
        <f>SUMPRODUCT(MAX((Брони!$B$2:$B$500=B832)*((Брони!$F$2:$F$500="Выдана")+(Брони!$F$2:$F$500="Возвращена"))*(Брони!$D$2:$D$500&lt;=A832)*Брони!$D$2:$D$500))</f>
        <v/>
      </c>
      <c r="O832" s="19">
        <f>SUMPRODUCT((Брони!$B$2:$B$500=B832)*(Брони!$D$2:$D$500=N832)*((((Брони!$F$2:$F$500="Выдана")*NOW())+((Брони!$F$2:$F$500="Возвращена")*Брони!$E$2:$E$500))&gt;=A832)*Брони!$A$2:$A$500)</f>
        <v/>
      </c>
      <c r="P832" s="19">
        <f>SUMPRODUCT((Брони!$B$2:$B$500=B832)*(Брони!$D$2:$D$500=N832)*(((Брони!$F$2:$F$500="Выдана")+(Брони!$F$2:$F$500="Возвращена"))))</f>
        <v/>
      </c>
      <c r="Q832" s="10" t="n"/>
    </row>
    <row r="833">
      <c r="A833" s="11" t="n"/>
      <c r="B833" s="10" t="n"/>
      <c r="C833" s="10" t="n"/>
      <c r="D833" s="14" t="n"/>
      <c r="E833" s="10" t="n"/>
      <c r="F833" s="20">
        <f>IF(OR(A833="",B833=""),"",IF(OR(NOT(ISNUMBER(A833)),ISERROR(N833+O833+P833)),"Проверьте даты",IF(AND(N833&gt;0,P833&gt;1),"Дубль",IF(AND(N833&gt;0,O833&gt;0),O833,"Вне аренды"))))</f>
        <v/>
      </c>
      <c r="G833" s="12">
        <f>IF(ISNUMBER(F833),IFERROR(INDEX(Брони!$C$2:$C$500,MATCH(F833,Брони!$A$2:$A$500,0)),""),"")</f>
        <v/>
      </c>
      <c r="H833" s="10" t="n"/>
      <c r="I833" s="18" t="n"/>
      <c r="J833" s="12">
        <f>IF(AND(ISNUMBER(F833),I833&lt;&gt;""),IFERROR(IF(AND(INDEX(Брони!$F$2:$F$500,MATCH(F833,Брони!$A$2:$A$500,0))="Возвращена",I833&gt;INDEX(Брони!$E$2:$E$500,MATCH(F833,Брони!$A$2:$A$500,0))),"Да",""),""),"")</f>
        <v/>
      </c>
      <c r="K833" s="10" t="n"/>
      <c r="L833" s="14" t="n"/>
      <c r="M833" s="15">
        <f>IF(OR(A833="",B833=""),"",IF(AND(ISNUMBER(F833),H833&lt;&gt;"Компания"),D833+L833,0))</f>
        <v/>
      </c>
      <c r="N833" s="21">
        <f>SUMPRODUCT(MAX((Брони!$B$2:$B$500=B833)*((Брони!$F$2:$F$500="Выдана")+(Брони!$F$2:$F$500="Возвращена"))*(Брони!$D$2:$D$500&lt;=A833)*Брони!$D$2:$D$500))</f>
        <v/>
      </c>
      <c r="O833" s="19">
        <f>SUMPRODUCT((Брони!$B$2:$B$500=B833)*(Брони!$D$2:$D$500=N833)*((((Брони!$F$2:$F$500="Выдана")*NOW())+((Брони!$F$2:$F$500="Возвращена")*Брони!$E$2:$E$500))&gt;=A833)*Брони!$A$2:$A$500)</f>
        <v/>
      </c>
      <c r="P833" s="19">
        <f>SUMPRODUCT((Брони!$B$2:$B$500=B833)*(Брони!$D$2:$D$500=N833)*(((Брони!$F$2:$F$500="Выдана")+(Брони!$F$2:$F$500="Возвращена"))))</f>
        <v/>
      </c>
      <c r="Q833" s="10" t="n"/>
    </row>
    <row r="834">
      <c r="A834" s="11" t="n"/>
      <c r="B834" s="10" t="n"/>
      <c r="C834" s="10" t="n"/>
      <c r="D834" s="14" t="n"/>
      <c r="E834" s="10" t="n"/>
      <c r="F834" s="20">
        <f>IF(OR(A834="",B834=""),"",IF(OR(NOT(ISNUMBER(A834)),ISERROR(N834+O834+P834)),"Проверьте даты",IF(AND(N834&gt;0,P834&gt;1),"Дубль",IF(AND(N834&gt;0,O834&gt;0),O834,"Вне аренды"))))</f>
        <v/>
      </c>
      <c r="G834" s="12">
        <f>IF(ISNUMBER(F834),IFERROR(INDEX(Брони!$C$2:$C$500,MATCH(F834,Брони!$A$2:$A$500,0)),""),"")</f>
        <v/>
      </c>
      <c r="H834" s="10" t="n"/>
      <c r="I834" s="18" t="n"/>
      <c r="J834" s="12">
        <f>IF(AND(ISNUMBER(F834),I834&lt;&gt;""),IFERROR(IF(AND(INDEX(Брони!$F$2:$F$500,MATCH(F834,Брони!$A$2:$A$500,0))="Возвращена",I834&gt;INDEX(Брони!$E$2:$E$500,MATCH(F834,Брони!$A$2:$A$500,0))),"Да",""),""),"")</f>
        <v/>
      </c>
      <c r="K834" s="10" t="n"/>
      <c r="L834" s="14" t="n"/>
      <c r="M834" s="15">
        <f>IF(OR(A834="",B834=""),"",IF(AND(ISNUMBER(F834),H834&lt;&gt;"Компания"),D834+L834,0))</f>
        <v/>
      </c>
      <c r="N834" s="21">
        <f>SUMPRODUCT(MAX((Брони!$B$2:$B$500=B834)*((Брони!$F$2:$F$500="Выдана")+(Брони!$F$2:$F$500="Возвращена"))*(Брони!$D$2:$D$500&lt;=A834)*Брони!$D$2:$D$500))</f>
        <v/>
      </c>
      <c r="O834" s="19">
        <f>SUMPRODUCT((Брони!$B$2:$B$500=B834)*(Брони!$D$2:$D$500=N834)*((((Брони!$F$2:$F$500="Выдана")*NOW())+((Брони!$F$2:$F$500="Возвращена")*Брони!$E$2:$E$500))&gt;=A834)*Брони!$A$2:$A$500)</f>
        <v/>
      </c>
      <c r="P834" s="19">
        <f>SUMPRODUCT((Брони!$B$2:$B$500=B834)*(Брони!$D$2:$D$500=N834)*(((Брони!$F$2:$F$500="Выдана")+(Брони!$F$2:$F$500="Возвращена"))))</f>
        <v/>
      </c>
      <c r="Q834" s="10" t="n"/>
    </row>
    <row r="835">
      <c r="A835" s="11" t="n"/>
      <c r="B835" s="10" t="n"/>
      <c r="C835" s="10" t="n"/>
      <c r="D835" s="14" t="n"/>
      <c r="E835" s="10" t="n"/>
      <c r="F835" s="20">
        <f>IF(OR(A835="",B835=""),"",IF(OR(NOT(ISNUMBER(A835)),ISERROR(N835+O835+P835)),"Проверьте даты",IF(AND(N835&gt;0,P835&gt;1),"Дубль",IF(AND(N835&gt;0,O835&gt;0),O835,"Вне аренды"))))</f>
        <v/>
      </c>
      <c r="G835" s="12">
        <f>IF(ISNUMBER(F835),IFERROR(INDEX(Брони!$C$2:$C$500,MATCH(F835,Брони!$A$2:$A$500,0)),""),"")</f>
        <v/>
      </c>
      <c r="H835" s="10" t="n"/>
      <c r="I835" s="18" t="n"/>
      <c r="J835" s="12">
        <f>IF(AND(ISNUMBER(F835),I835&lt;&gt;""),IFERROR(IF(AND(INDEX(Брони!$F$2:$F$500,MATCH(F835,Брони!$A$2:$A$500,0))="Возвращена",I835&gt;INDEX(Брони!$E$2:$E$500,MATCH(F835,Брони!$A$2:$A$500,0))),"Да",""),""),"")</f>
        <v/>
      </c>
      <c r="K835" s="10" t="n"/>
      <c r="L835" s="14" t="n"/>
      <c r="M835" s="15">
        <f>IF(OR(A835="",B835=""),"",IF(AND(ISNUMBER(F835),H835&lt;&gt;"Компания"),D835+L835,0))</f>
        <v/>
      </c>
      <c r="N835" s="21">
        <f>SUMPRODUCT(MAX((Брони!$B$2:$B$500=B835)*((Брони!$F$2:$F$500="Выдана")+(Брони!$F$2:$F$500="Возвращена"))*(Брони!$D$2:$D$500&lt;=A835)*Брони!$D$2:$D$500))</f>
        <v/>
      </c>
      <c r="O835" s="19">
        <f>SUMPRODUCT((Брони!$B$2:$B$500=B835)*(Брони!$D$2:$D$500=N835)*((((Брони!$F$2:$F$500="Выдана")*NOW())+((Брони!$F$2:$F$500="Возвращена")*Брони!$E$2:$E$500))&gt;=A835)*Брони!$A$2:$A$500)</f>
        <v/>
      </c>
      <c r="P835" s="19">
        <f>SUMPRODUCT((Брони!$B$2:$B$500=B835)*(Брони!$D$2:$D$500=N835)*(((Брони!$F$2:$F$500="Выдана")+(Брони!$F$2:$F$500="Возвращена"))))</f>
        <v/>
      </c>
      <c r="Q835" s="10" t="n"/>
    </row>
    <row r="836">
      <c r="A836" s="11" t="n"/>
      <c r="B836" s="10" t="n"/>
      <c r="C836" s="10" t="n"/>
      <c r="D836" s="14" t="n"/>
      <c r="E836" s="10" t="n"/>
      <c r="F836" s="20">
        <f>IF(OR(A836="",B836=""),"",IF(OR(NOT(ISNUMBER(A836)),ISERROR(N836+O836+P836)),"Проверьте даты",IF(AND(N836&gt;0,P836&gt;1),"Дубль",IF(AND(N836&gt;0,O836&gt;0),O836,"Вне аренды"))))</f>
        <v/>
      </c>
      <c r="G836" s="12">
        <f>IF(ISNUMBER(F836),IFERROR(INDEX(Брони!$C$2:$C$500,MATCH(F836,Брони!$A$2:$A$500,0)),""),"")</f>
        <v/>
      </c>
      <c r="H836" s="10" t="n"/>
      <c r="I836" s="18" t="n"/>
      <c r="J836" s="12">
        <f>IF(AND(ISNUMBER(F836),I836&lt;&gt;""),IFERROR(IF(AND(INDEX(Брони!$F$2:$F$500,MATCH(F836,Брони!$A$2:$A$500,0))="Возвращена",I836&gt;INDEX(Брони!$E$2:$E$500,MATCH(F836,Брони!$A$2:$A$500,0))),"Да",""),""),"")</f>
        <v/>
      </c>
      <c r="K836" s="10" t="n"/>
      <c r="L836" s="14" t="n"/>
      <c r="M836" s="15">
        <f>IF(OR(A836="",B836=""),"",IF(AND(ISNUMBER(F836),H836&lt;&gt;"Компания"),D836+L836,0))</f>
        <v/>
      </c>
      <c r="N836" s="21">
        <f>SUMPRODUCT(MAX((Брони!$B$2:$B$500=B836)*((Брони!$F$2:$F$500="Выдана")+(Брони!$F$2:$F$500="Возвращена"))*(Брони!$D$2:$D$500&lt;=A836)*Брони!$D$2:$D$500))</f>
        <v/>
      </c>
      <c r="O836" s="19">
        <f>SUMPRODUCT((Брони!$B$2:$B$500=B836)*(Брони!$D$2:$D$500=N836)*((((Брони!$F$2:$F$500="Выдана")*NOW())+((Брони!$F$2:$F$500="Возвращена")*Брони!$E$2:$E$500))&gt;=A836)*Брони!$A$2:$A$500)</f>
        <v/>
      </c>
      <c r="P836" s="19">
        <f>SUMPRODUCT((Брони!$B$2:$B$500=B836)*(Брони!$D$2:$D$500=N836)*(((Брони!$F$2:$F$500="Выдана")+(Брони!$F$2:$F$500="Возвращена"))))</f>
        <v/>
      </c>
      <c r="Q836" s="10" t="n"/>
    </row>
    <row r="837">
      <c r="A837" s="11" t="n"/>
      <c r="B837" s="10" t="n"/>
      <c r="C837" s="10" t="n"/>
      <c r="D837" s="14" t="n"/>
      <c r="E837" s="10" t="n"/>
      <c r="F837" s="20">
        <f>IF(OR(A837="",B837=""),"",IF(OR(NOT(ISNUMBER(A837)),ISERROR(N837+O837+P837)),"Проверьте даты",IF(AND(N837&gt;0,P837&gt;1),"Дубль",IF(AND(N837&gt;0,O837&gt;0),O837,"Вне аренды"))))</f>
        <v/>
      </c>
      <c r="G837" s="12">
        <f>IF(ISNUMBER(F837),IFERROR(INDEX(Брони!$C$2:$C$500,MATCH(F837,Брони!$A$2:$A$500,0)),""),"")</f>
        <v/>
      </c>
      <c r="H837" s="10" t="n"/>
      <c r="I837" s="18" t="n"/>
      <c r="J837" s="12">
        <f>IF(AND(ISNUMBER(F837),I837&lt;&gt;""),IFERROR(IF(AND(INDEX(Брони!$F$2:$F$500,MATCH(F837,Брони!$A$2:$A$500,0))="Возвращена",I837&gt;INDEX(Брони!$E$2:$E$500,MATCH(F837,Брони!$A$2:$A$500,0))),"Да",""),""),"")</f>
        <v/>
      </c>
      <c r="K837" s="10" t="n"/>
      <c r="L837" s="14" t="n"/>
      <c r="M837" s="15">
        <f>IF(OR(A837="",B837=""),"",IF(AND(ISNUMBER(F837),H837&lt;&gt;"Компания"),D837+L837,0))</f>
        <v/>
      </c>
      <c r="N837" s="21">
        <f>SUMPRODUCT(MAX((Брони!$B$2:$B$500=B837)*((Брони!$F$2:$F$500="Выдана")+(Брони!$F$2:$F$500="Возвращена"))*(Брони!$D$2:$D$500&lt;=A837)*Брони!$D$2:$D$500))</f>
        <v/>
      </c>
      <c r="O837" s="19">
        <f>SUMPRODUCT((Брони!$B$2:$B$500=B837)*(Брони!$D$2:$D$500=N837)*((((Брони!$F$2:$F$500="Выдана")*NOW())+((Брони!$F$2:$F$500="Возвращена")*Брони!$E$2:$E$500))&gt;=A837)*Брони!$A$2:$A$500)</f>
        <v/>
      </c>
      <c r="P837" s="19">
        <f>SUMPRODUCT((Брони!$B$2:$B$500=B837)*(Брони!$D$2:$D$500=N837)*(((Брони!$F$2:$F$500="Выдана")+(Брони!$F$2:$F$500="Возвращена"))))</f>
        <v/>
      </c>
      <c r="Q837" s="10" t="n"/>
    </row>
    <row r="838">
      <c r="A838" s="11" t="n"/>
      <c r="B838" s="10" t="n"/>
      <c r="C838" s="10" t="n"/>
      <c r="D838" s="14" t="n"/>
      <c r="E838" s="10" t="n"/>
      <c r="F838" s="20">
        <f>IF(OR(A838="",B838=""),"",IF(OR(NOT(ISNUMBER(A838)),ISERROR(N838+O838+P838)),"Проверьте даты",IF(AND(N838&gt;0,P838&gt;1),"Дубль",IF(AND(N838&gt;0,O838&gt;0),O838,"Вне аренды"))))</f>
        <v/>
      </c>
      <c r="G838" s="12">
        <f>IF(ISNUMBER(F838),IFERROR(INDEX(Брони!$C$2:$C$500,MATCH(F838,Брони!$A$2:$A$500,0)),""),"")</f>
        <v/>
      </c>
      <c r="H838" s="10" t="n"/>
      <c r="I838" s="18" t="n"/>
      <c r="J838" s="12">
        <f>IF(AND(ISNUMBER(F838),I838&lt;&gt;""),IFERROR(IF(AND(INDEX(Брони!$F$2:$F$500,MATCH(F838,Брони!$A$2:$A$500,0))="Возвращена",I838&gt;INDEX(Брони!$E$2:$E$500,MATCH(F838,Брони!$A$2:$A$500,0))),"Да",""),""),"")</f>
        <v/>
      </c>
      <c r="K838" s="10" t="n"/>
      <c r="L838" s="14" t="n"/>
      <c r="M838" s="15">
        <f>IF(OR(A838="",B838=""),"",IF(AND(ISNUMBER(F838),H838&lt;&gt;"Компания"),D838+L838,0))</f>
        <v/>
      </c>
      <c r="N838" s="21">
        <f>SUMPRODUCT(MAX((Брони!$B$2:$B$500=B838)*((Брони!$F$2:$F$500="Выдана")+(Брони!$F$2:$F$500="Возвращена"))*(Брони!$D$2:$D$500&lt;=A838)*Брони!$D$2:$D$500))</f>
        <v/>
      </c>
      <c r="O838" s="19">
        <f>SUMPRODUCT((Брони!$B$2:$B$500=B838)*(Брони!$D$2:$D$500=N838)*((((Брони!$F$2:$F$500="Выдана")*NOW())+((Брони!$F$2:$F$500="Возвращена")*Брони!$E$2:$E$500))&gt;=A838)*Брони!$A$2:$A$500)</f>
        <v/>
      </c>
      <c r="P838" s="19">
        <f>SUMPRODUCT((Брони!$B$2:$B$500=B838)*(Брони!$D$2:$D$500=N838)*(((Брони!$F$2:$F$500="Выдана")+(Брони!$F$2:$F$500="Возвращена"))))</f>
        <v/>
      </c>
      <c r="Q838" s="10" t="n"/>
    </row>
    <row r="839">
      <c r="A839" s="11" t="n"/>
      <c r="B839" s="10" t="n"/>
      <c r="C839" s="10" t="n"/>
      <c r="D839" s="14" t="n"/>
      <c r="E839" s="10" t="n"/>
      <c r="F839" s="20">
        <f>IF(OR(A839="",B839=""),"",IF(OR(NOT(ISNUMBER(A839)),ISERROR(N839+O839+P839)),"Проверьте даты",IF(AND(N839&gt;0,P839&gt;1),"Дубль",IF(AND(N839&gt;0,O839&gt;0),O839,"Вне аренды"))))</f>
        <v/>
      </c>
      <c r="G839" s="12">
        <f>IF(ISNUMBER(F839),IFERROR(INDEX(Брони!$C$2:$C$500,MATCH(F839,Брони!$A$2:$A$500,0)),""),"")</f>
        <v/>
      </c>
      <c r="H839" s="10" t="n"/>
      <c r="I839" s="18" t="n"/>
      <c r="J839" s="12">
        <f>IF(AND(ISNUMBER(F839),I839&lt;&gt;""),IFERROR(IF(AND(INDEX(Брони!$F$2:$F$500,MATCH(F839,Брони!$A$2:$A$500,0))="Возвращена",I839&gt;INDEX(Брони!$E$2:$E$500,MATCH(F839,Брони!$A$2:$A$500,0))),"Да",""),""),"")</f>
        <v/>
      </c>
      <c r="K839" s="10" t="n"/>
      <c r="L839" s="14" t="n"/>
      <c r="M839" s="15">
        <f>IF(OR(A839="",B839=""),"",IF(AND(ISNUMBER(F839),H839&lt;&gt;"Компания"),D839+L839,0))</f>
        <v/>
      </c>
      <c r="N839" s="21">
        <f>SUMPRODUCT(MAX((Брони!$B$2:$B$500=B839)*((Брони!$F$2:$F$500="Выдана")+(Брони!$F$2:$F$500="Возвращена"))*(Брони!$D$2:$D$500&lt;=A839)*Брони!$D$2:$D$500))</f>
        <v/>
      </c>
      <c r="O839" s="19">
        <f>SUMPRODUCT((Брони!$B$2:$B$500=B839)*(Брони!$D$2:$D$500=N839)*((((Брони!$F$2:$F$500="Выдана")*NOW())+((Брони!$F$2:$F$500="Возвращена")*Брони!$E$2:$E$500))&gt;=A839)*Брони!$A$2:$A$500)</f>
        <v/>
      </c>
      <c r="P839" s="19">
        <f>SUMPRODUCT((Брони!$B$2:$B$500=B839)*(Брони!$D$2:$D$500=N839)*(((Брони!$F$2:$F$500="Выдана")+(Брони!$F$2:$F$500="Возвращена"))))</f>
        <v/>
      </c>
      <c r="Q839" s="10" t="n"/>
    </row>
    <row r="840">
      <c r="A840" s="11" t="n"/>
      <c r="B840" s="10" t="n"/>
      <c r="C840" s="10" t="n"/>
      <c r="D840" s="14" t="n"/>
      <c r="E840" s="10" t="n"/>
      <c r="F840" s="20">
        <f>IF(OR(A840="",B840=""),"",IF(OR(NOT(ISNUMBER(A840)),ISERROR(N840+O840+P840)),"Проверьте даты",IF(AND(N840&gt;0,P840&gt;1),"Дубль",IF(AND(N840&gt;0,O840&gt;0),O840,"Вне аренды"))))</f>
        <v/>
      </c>
      <c r="G840" s="12">
        <f>IF(ISNUMBER(F840),IFERROR(INDEX(Брони!$C$2:$C$500,MATCH(F840,Брони!$A$2:$A$500,0)),""),"")</f>
        <v/>
      </c>
      <c r="H840" s="10" t="n"/>
      <c r="I840" s="18" t="n"/>
      <c r="J840" s="12">
        <f>IF(AND(ISNUMBER(F840),I840&lt;&gt;""),IFERROR(IF(AND(INDEX(Брони!$F$2:$F$500,MATCH(F840,Брони!$A$2:$A$500,0))="Возвращена",I840&gt;INDEX(Брони!$E$2:$E$500,MATCH(F840,Брони!$A$2:$A$500,0))),"Да",""),""),"")</f>
        <v/>
      </c>
      <c r="K840" s="10" t="n"/>
      <c r="L840" s="14" t="n"/>
      <c r="M840" s="15">
        <f>IF(OR(A840="",B840=""),"",IF(AND(ISNUMBER(F840),H840&lt;&gt;"Компания"),D840+L840,0))</f>
        <v/>
      </c>
      <c r="N840" s="21">
        <f>SUMPRODUCT(MAX((Брони!$B$2:$B$500=B840)*((Брони!$F$2:$F$500="Выдана")+(Брони!$F$2:$F$500="Возвращена"))*(Брони!$D$2:$D$500&lt;=A840)*Брони!$D$2:$D$500))</f>
        <v/>
      </c>
      <c r="O840" s="19">
        <f>SUMPRODUCT((Брони!$B$2:$B$500=B840)*(Брони!$D$2:$D$500=N840)*((((Брони!$F$2:$F$500="Выдана")*NOW())+((Брони!$F$2:$F$500="Возвращена")*Брони!$E$2:$E$500))&gt;=A840)*Брони!$A$2:$A$500)</f>
        <v/>
      </c>
      <c r="P840" s="19">
        <f>SUMPRODUCT((Брони!$B$2:$B$500=B840)*(Брони!$D$2:$D$500=N840)*(((Брони!$F$2:$F$500="Выдана")+(Брони!$F$2:$F$500="Возвращена"))))</f>
        <v/>
      </c>
      <c r="Q840" s="10" t="n"/>
    </row>
    <row r="841">
      <c r="A841" s="11" t="n"/>
      <c r="B841" s="10" t="n"/>
      <c r="C841" s="10" t="n"/>
      <c r="D841" s="14" t="n"/>
      <c r="E841" s="10" t="n"/>
      <c r="F841" s="20">
        <f>IF(OR(A841="",B841=""),"",IF(OR(NOT(ISNUMBER(A841)),ISERROR(N841+O841+P841)),"Проверьте даты",IF(AND(N841&gt;0,P841&gt;1),"Дубль",IF(AND(N841&gt;0,O841&gt;0),O841,"Вне аренды"))))</f>
        <v/>
      </c>
      <c r="G841" s="12">
        <f>IF(ISNUMBER(F841),IFERROR(INDEX(Брони!$C$2:$C$500,MATCH(F841,Брони!$A$2:$A$500,0)),""),"")</f>
        <v/>
      </c>
      <c r="H841" s="10" t="n"/>
      <c r="I841" s="18" t="n"/>
      <c r="J841" s="12">
        <f>IF(AND(ISNUMBER(F841),I841&lt;&gt;""),IFERROR(IF(AND(INDEX(Брони!$F$2:$F$500,MATCH(F841,Брони!$A$2:$A$500,0))="Возвращена",I841&gt;INDEX(Брони!$E$2:$E$500,MATCH(F841,Брони!$A$2:$A$500,0))),"Да",""),""),"")</f>
        <v/>
      </c>
      <c r="K841" s="10" t="n"/>
      <c r="L841" s="14" t="n"/>
      <c r="M841" s="15">
        <f>IF(OR(A841="",B841=""),"",IF(AND(ISNUMBER(F841),H841&lt;&gt;"Компания"),D841+L841,0))</f>
        <v/>
      </c>
      <c r="N841" s="21">
        <f>SUMPRODUCT(MAX((Брони!$B$2:$B$500=B841)*((Брони!$F$2:$F$500="Выдана")+(Брони!$F$2:$F$500="Возвращена"))*(Брони!$D$2:$D$500&lt;=A841)*Брони!$D$2:$D$500))</f>
        <v/>
      </c>
      <c r="O841" s="19">
        <f>SUMPRODUCT((Брони!$B$2:$B$500=B841)*(Брони!$D$2:$D$500=N841)*((((Брони!$F$2:$F$500="Выдана")*NOW())+((Брони!$F$2:$F$500="Возвращена")*Брони!$E$2:$E$500))&gt;=A841)*Брони!$A$2:$A$500)</f>
        <v/>
      </c>
      <c r="P841" s="19">
        <f>SUMPRODUCT((Брони!$B$2:$B$500=B841)*(Брони!$D$2:$D$500=N841)*(((Брони!$F$2:$F$500="Выдана")+(Брони!$F$2:$F$500="Возвращена"))))</f>
        <v/>
      </c>
      <c r="Q841" s="10" t="n"/>
    </row>
    <row r="842">
      <c r="A842" s="11" t="n"/>
      <c r="B842" s="10" t="n"/>
      <c r="C842" s="10" t="n"/>
      <c r="D842" s="14" t="n"/>
      <c r="E842" s="10" t="n"/>
      <c r="F842" s="20">
        <f>IF(OR(A842="",B842=""),"",IF(OR(NOT(ISNUMBER(A842)),ISERROR(N842+O842+P842)),"Проверьте даты",IF(AND(N842&gt;0,P842&gt;1),"Дубль",IF(AND(N842&gt;0,O842&gt;0),O842,"Вне аренды"))))</f>
        <v/>
      </c>
      <c r="G842" s="12">
        <f>IF(ISNUMBER(F842),IFERROR(INDEX(Брони!$C$2:$C$500,MATCH(F842,Брони!$A$2:$A$500,0)),""),"")</f>
        <v/>
      </c>
      <c r="H842" s="10" t="n"/>
      <c r="I842" s="18" t="n"/>
      <c r="J842" s="12">
        <f>IF(AND(ISNUMBER(F842),I842&lt;&gt;""),IFERROR(IF(AND(INDEX(Брони!$F$2:$F$500,MATCH(F842,Брони!$A$2:$A$500,0))="Возвращена",I842&gt;INDEX(Брони!$E$2:$E$500,MATCH(F842,Брони!$A$2:$A$500,0))),"Да",""),""),"")</f>
        <v/>
      </c>
      <c r="K842" s="10" t="n"/>
      <c r="L842" s="14" t="n"/>
      <c r="M842" s="15">
        <f>IF(OR(A842="",B842=""),"",IF(AND(ISNUMBER(F842),H842&lt;&gt;"Компания"),D842+L842,0))</f>
        <v/>
      </c>
      <c r="N842" s="21">
        <f>SUMPRODUCT(MAX((Брони!$B$2:$B$500=B842)*((Брони!$F$2:$F$500="Выдана")+(Брони!$F$2:$F$500="Возвращена"))*(Брони!$D$2:$D$500&lt;=A842)*Брони!$D$2:$D$500))</f>
        <v/>
      </c>
      <c r="O842" s="19">
        <f>SUMPRODUCT((Брони!$B$2:$B$500=B842)*(Брони!$D$2:$D$500=N842)*((((Брони!$F$2:$F$500="Выдана")*NOW())+((Брони!$F$2:$F$500="Возвращена")*Брони!$E$2:$E$500))&gt;=A842)*Брони!$A$2:$A$500)</f>
        <v/>
      </c>
      <c r="P842" s="19">
        <f>SUMPRODUCT((Брони!$B$2:$B$500=B842)*(Брони!$D$2:$D$500=N842)*(((Брони!$F$2:$F$500="Выдана")+(Брони!$F$2:$F$500="Возвращена"))))</f>
        <v/>
      </c>
      <c r="Q842" s="10" t="n"/>
    </row>
    <row r="843">
      <c r="A843" s="11" t="n"/>
      <c r="B843" s="10" t="n"/>
      <c r="C843" s="10" t="n"/>
      <c r="D843" s="14" t="n"/>
      <c r="E843" s="10" t="n"/>
      <c r="F843" s="20">
        <f>IF(OR(A843="",B843=""),"",IF(OR(NOT(ISNUMBER(A843)),ISERROR(N843+O843+P843)),"Проверьте даты",IF(AND(N843&gt;0,P843&gt;1),"Дубль",IF(AND(N843&gt;0,O843&gt;0),O843,"Вне аренды"))))</f>
        <v/>
      </c>
      <c r="G843" s="12">
        <f>IF(ISNUMBER(F843),IFERROR(INDEX(Брони!$C$2:$C$500,MATCH(F843,Брони!$A$2:$A$500,0)),""),"")</f>
        <v/>
      </c>
      <c r="H843" s="10" t="n"/>
      <c r="I843" s="18" t="n"/>
      <c r="J843" s="12">
        <f>IF(AND(ISNUMBER(F843),I843&lt;&gt;""),IFERROR(IF(AND(INDEX(Брони!$F$2:$F$500,MATCH(F843,Брони!$A$2:$A$500,0))="Возвращена",I843&gt;INDEX(Брони!$E$2:$E$500,MATCH(F843,Брони!$A$2:$A$500,0))),"Да",""),""),"")</f>
        <v/>
      </c>
      <c r="K843" s="10" t="n"/>
      <c r="L843" s="14" t="n"/>
      <c r="M843" s="15">
        <f>IF(OR(A843="",B843=""),"",IF(AND(ISNUMBER(F843),H843&lt;&gt;"Компания"),D843+L843,0))</f>
        <v/>
      </c>
      <c r="N843" s="21">
        <f>SUMPRODUCT(MAX((Брони!$B$2:$B$500=B843)*((Брони!$F$2:$F$500="Выдана")+(Брони!$F$2:$F$500="Возвращена"))*(Брони!$D$2:$D$500&lt;=A843)*Брони!$D$2:$D$500))</f>
        <v/>
      </c>
      <c r="O843" s="19">
        <f>SUMPRODUCT((Брони!$B$2:$B$500=B843)*(Брони!$D$2:$D$500=N843)*((((Брони!$F$2:$F$500="Выдана")*NOW())+((Брони!$F$2:$F$500="Возвращена")*Брони!$E$2:$E$500))&gt;=A843)*Брони!$A$2:$A$500)</f>
        <v/>
      </c>
      <c r="P843" s="19">
        <f>SUMPRODUCT((Брони!$B$2:$B$500=B843)*(Брони!$D$2:$D$500=N843)*(((Брони!$F$2:$F$500="Выдана")+(Брони!$F$2:$F$500="Возвращена"))))</f>
        <v/>
      </c>
      <c r="Q843" s="10" t="n"/>
    </row>
    <row r="844">
      <c r="A844" s="11" t="n"/>
      <c r="B844" s="10" t="n"/>
      <c r="C844" s="10" t="n"/>
      <c r="D844" s="14" t="n"/>
      <c r="E844" s="10" t="n"/>
      <c r="F844" s="20">
        <f>IF(OR(A844="",B844=""),"",IF(OR(NOT(ISNUMBER(A844)),ISERROR(N844+O844+P844)),"Проверьте даты",IF(AND(N844&gt;0,P844&gt;1),"Дубль",IF(AND(N844&gt;0,O844&gt;0),O844,"Вне аренды"))))</f>
        <v/>
      </c>
      <c r="G844" s="12">
        <f>IF(ISNUMBER(F844),IFERROR(INDEX(Брони!$C$2:$C$500,MATCH(F844,Брони!$A$2:$A$500,0)),""),"")</f>
        <v/>
      </c>
      <c r="H844" s="10" t="n"/>
      <c r="I844" s="18" t="n"/>
      <c r="J844" s="12">
        <f>IF(AND(ISNUMBER(F844),I844&lt;&gt;""),IFERROR(IF(AND(INDEX(Брони!$F$2:$F$500,MATCH(F844,Брони!$A$2:$A$500,0))="Возвращена",I844&gt;INDEX(Брони!$E$2:$E$500,MATCH(F844,Брони!$A$2:$A$500,0))),"Да",""),""),"")</f>
        <v/>
      </c>
      <c r="K844" s="10" t="n"/>
      <c r="L844" s="14" t="n"/>
      <c r="M844" s="15">
        <f>IF(OR(A844="",B844=""),"",IF(AND(ISNUMBER(F844),H844&lt;&gt;"Компания"),D844+L844,0))</f>
        <v/>
      </c>
      <c r="N844" s="21">
        <f>SUMPRODUCT(MAX((Брони!$B$2:$B$500=B844)*((Брони!$F$2:$F$500="Выдана")+(Брони!$F$2:$F$500="Возвращена"))*(Брони!$D$2:$D$500&lt;=A844)*Брони!$D$2:$D$500))</f>
        <v/>
      </c>
      <c r="O844" s="19">
        <f>SUMPRODUCT((Брони!$B$2:$B$500=B844)*(Брони!$D$2:$D$500=N844)*((((Брони!$F$2:$F$500="Выдана")*NOW())+((Брони!$F$2:$F$500="Возвращена")*Брони!$E$2:$E$500))&gt;=A844)*Брони!$A$2:$A$500)</f>
        <v/>
      </c>
      <c r="P844" s="19">
        <f>SUMPRODUCT((Брони!$B$2:$B$500=B844)*(Брони!$D$2:$D$500=N844)*(((Брони!$F$2:$F$500="Выдана")+(Брони!$F$2:$F$500="Возвращена"))))</f>
        <v/>
      </c>
      <c r="Q844" s="10" t="n"/>
    </row>
    <row r="845">
      <c r="A845" s="11" t="n"/>
      <c r="B845" s="10" t="n"/>
      <c r="C845" s="10" t="n"/>
      <c r="D845" s="14" t="n"/>
      <c r="E845" s="10" t="n"/>
      <c r="F845" s="20">
        <f>IF(OR(A845="",B845=""),"",IF(OR(NOT(ISNUMBER(A845)),ISERROR(N845+O845+P845)),"Проверьте даты",IF(AND(N845&gt;0,P845&gt;1),"Дубль",IF(AND(N845&gt;0,O845&gt;0),O845,"Вне аренды"))))</f>
        <v/>
      </c>
      <c r="G845" s="12">
        <f>IF(ISNUMBER(F845),IFERROR(INDEX(Брони!$C$2:$C$500,MATCH(F845,Брони!$A$2:$A$500,0)),""),"")</f>
        <v/>
      </c>
      <c r="H845" s="10" t="n"/>
      <c r="I845" s="18" t="n"/>
      <c r="J845" s="12">
        <f>IF(AND(ISNUMBER(F845),I845&lt;&gt;""),IFERROR(IF(AND(INDEX(Брони!$F$2:$F$500,MATCH(F845,Брони!$A$2:$A$500,0))="Возвращена",I845&gt;INDEX(Брони!$E$2:$E$500,MATCH(F845,Брони!$A$2:$A$500,0))),"Да",""),""),"")</f>
        <v/>
      </c>
      <c r="K845" s="10" t="n"/>
      <c r="L845" s="14" t="n"/>
      <c r="M845" s="15">
        <f>IF(OR(A845="",B845=""),"",IF(AND(ISNUMBER(F845),H845&lt;&gt;"Компания"),D845+L845,0))</f>
        <v/>
      </c>
      <c r="N845" s="21">
        <f>SUMPRODUCT(MAX((Брони!$B$2:$B$500=B845)*((Брони!$F$2:$F$500="Выдана")+(Брони!$F$2:$F$500="Возвращена"))*(Брони!$D$2:$D$500&lt;=A845)*Брони!$D$2:$D$500))</f>
        <v/>
      </c>
      <c r="O845" s="19">
        <f>SUMPRODUCT((Брони!$B$2:$B$500=B845)*(Брони!$D$2:$D$500=N845)*((((Брони!$F$2:$F$500="Выдана")*NOW())+((Брони!$F$2:$F$500="Возвращена")*Брони!$E$2:$E$500))&gt;=A845)*Брони!$A$2:$A$500)</f>
        <v/>
      </c>
      <c r="P845" s="19">
        <f>SUMPRODUCT((Брони!$B$2:$B$500=B845)*(Брони!$D$2:$D$500=N845)*(((Брони!$F$2:$F$500="Выдана")+(Брони!$F$2:$F$500="Возвращена"))))</f>
        <v/>
      </c>
      <c r="Q845" s="10" t="n"/>
    </row>
    <row r="846">
      <c r="A846" s="11" t="n"/>
      <c r="B846" s="10" t="n"/>
      <c r="C846" s="10" t="n"/>
      <c r="D846" s="14" t="n"/>
      <c r="E846" s="10" t="n"/>
      <c r="F846" s="20">
        <f>IF(OR(A846="",B846=""),"",IF(OR(NOT(ISNUMBER(A846)),ISERROR(N846+O846+P846)),"Проверьте даты",IF(AND(N846&gt;0,P846&gt;1),"Дубль",IF(AND(N846&gt;0,O846&gt;0),O846,"Вне аренды"))))</f>
        <v/>
      </c>
      <c r="G846" s="12">
        <f>IF(ISNUMBER(F846),IFERROR(INDEX(Брони!$C$2:$C$500,MATCH(F846,Брони!$A$2:$A$500,0)),""),"")</f>
        <v/>
      </c>
      <c r="H846" s="10" t="n"/>
      <c r="I846" s="18" t="n"/>
      <c r="J846" s="12">
        <f>IF(AND(ISNUMBER(F846),I846&lt;&gt;""),IFERROR(IF(AND(INDEX(Брони!$F$2:$F$500,MATCH(F846,Брони!$A$2:$A$500,0))="Возвращена",I846&gt;INDEX(Брони!$E$2:$E$500,MATCH(F846,Брони!$A$2:$A$500,0))),"Да",""),""),"")</f>
        <v/>
      </c>
      <c r="K846" s="10" t="n"/>
      <c r="L846" s="14" t="n"/>
      <c r="M846" s="15">
        <f>IF(OR(A846="",B846=""),"",IF(AND(ISNUMBER(F846),H846&lt;&gt;"Компания"),D846+L846,0))</f>
        <v/>
      </c>
      <c r="N846" s="21">
        <f>SUMPRODUCT(MAX((Брони!$B$2:$B$500=B846)*((Брони!$F$2:$F$500="Выдана")+(Брони!$F$2:$F$500="Возвращена"))*(Брони!$D$2:$D$500&lt;=A846)*Брони!$D$2:$D$500))</f>
        <v/>
      </c>
      <c r="O846" s="19">
        <f>SUMPRODUCT((Брони!$B$2:$B$500=B846)*(Брони!$D$2:$D$500=N846)*((((Брони!$F$2:$F$500="Выдана")*NOW())+((Брони!$F$2:$F$500="Возвращена")*Брони!$E$2:$E$500))&gt;=A846)*Брони!$A$2:$A$500)</f>
        <v/>
      </c>
      <c r="P846" s="19">
        <f>SUMPRODUCT((Брони!$B$2:$B$500=B846)*(Брони!$D$2:$D$500=N846)*(((Брони!$F$2:$F$500="Выдана")+(Брони!$F$2:$F$500="Возвращена"))))</f>
        <v/>
      </c>
      <c r="Q846" s="10" t="n"/>
    </row>
    <row r="847">
      <c r="A847" s="11" t="n"/>
      <c r="B847" s="10" t="n"/>
      <c r="C847" s="10" t="n"/>
      <c r="D847" s="14" t="n"/>
      <c r="E847" s="10" t="n"/>
      <c r="F847" s="20">
        <f>IF(OR(A847="",B847=""),"",IF(OR(NOT(ISNUMBER(A847)),ISERROR(N847+O847+P847)),"Проверьте даты",IF(AND(N847&gt;0,P847&gt;1),"Дубль",IF(AND(N847&gt;0,O847&gt;0),O847,"Вне аренды"))))</f>
        <v/>
      </c>
      <c r="G847" s="12">
        <f>IF(ISNUMBER(F847),IFERROR(INDEX(Брони!$C$2:$C$500,MATCH(F847,Брони!$A$2:$A$500,0)),""),"")</f>
        <v/>
      </c>
      <c r="H847" s="10" t="n"/>
      <c r="I847" s="18" t="n"/>
      <c r="J847" s="12">
        <f>IF(AND(ISNUMBER(F847),I847&lt;&gt;""),IFERROR(IF(AND(INDEX(Брони!$F$2:$F$500,MATCH(F847,Брони!$A$2:$A$500,0))="Возвращена",I847&gt;INDEX(Брони!$E$2:$E$500,MATCH(F847,Брони!$A$2:$A$500,0))),"Да",""),""),"")</f>
        <v/>
      </c>
      <c r="K847" s="10" t="n"/>
      <c r="L847" s="14" t="n"/>
      <c r="M847" s="15">
        <f>IF(OR(A847="",B847=""),"",IF(AND(ISNUMBER(F847),H847&lt;&gt;"Компания"),D847+L847,0))</f>
        <v/>
      </c>
      <c r="N847" s="21">
        <f>SUMPRODUCT(MAX((Брони!$B$2:$B$500=B847)*((Брони!$F$2:$F$500="Выдана")+(Брони!$F$2:$F$500="Возвращена"))*(Брони!$D$2:$D$500&lt;=A847)*Брони!$D$2:$D$500))</f>
        <v/>
      </c>
      <c r="O847" s="19">
        <f>SUMPRODUCT((Брони!$B$2:$B$500=B847)*(Брони!$D$2:$D$500=N847)*((((Брони!$F$2:$F$500="Выдана")*NOW())+((Брони!$F$2:$F$500="Возвращена")*Брони!$E$2:$E$500))&gt;=A847)*Брони!$A$2:$A$500)</f>
        <v/>
      </c>
      <c r="P847" s="19">
        <f>SUMPRODUCT((Брони!$B$2:$B$500=B847)*(Брони!$D$2:$D$500=N847)*(((Брони!$F$2:$F$500="Выдана")+(Брони!$F$2:$F$500="Возвращена"))))</f>
        <v/>
      </c>
      <c r="Q847" s="10" t="n"/>
    </row>
    <row r="848">
      <c r="A848" s="11" t="n"/>
      <c r="B848" s="10" t="n"/>
      <c r="C848" s="10" t="n"/>
      <c r="D848" s="14" t="n"/>
      <c r="E848" s="10" t="n"/>
      <c r="F848" s="20">
        <f>IF(OR(A848="",B848=""),"",IF(OR(NOT(ISNUMBER(A848)),ISERROR(N848+O848+P848)),"Проверьте даты",IF(AND(N848&gt;0,P848&gt;1),"Дубль",IF(AND(N848&gt;0,O848&gt;0),O848,"Вне аренды"))))</f>
        <v/>
      </c>
      <c r="G848" s="12">
        <f>IF(ISNUMBER(F848),IFERROR(INDEX(Брони!$C$2:$C$500,MATCH(F848,Брони!$A$2:$A$500,0)),""),"")</f>
        <v/>
      </c>
      <c r="H848" s="10" t="n"/>
      <c r="I848" s="18" t="n"/>
      <c r="J848" s="12">
        <f>IF(AND(ISNUMBER(F848),I848&lt;&gt;""),IFERROR(IF(AND(INDEX(Брони!$F$2:$F$500,MATCH(F848,Брони!$A$2:$A$500,0))="Возвращена",I848&gt;INDEX(Брони!$E$2:$E$500,MATCH(F848,Брони!$A$2:$A$500,0))),"Да",""),""),"")</f>
        <v/>
      </c>
      <c r="K848" s="10" t="n"/>
      <c r="L848" s="14" t="n"/>
      <c r="M848" s="15">
        <f>IF(OR(A848="",B848=""),"",IF(AND(ISNUMBER(F848),H848&lt;&gt;"Компания"),D848+L848,0))</f>
        <v/>
      </c>
      <c r="N848" s="21">
        <f>SUMPRODUCT(MAX((Брони!$B$2:$B$500=B848)*((Брони!$F$2:$F$500="Выдана")+(Брони!$F$2:$F$500="Возвращена"))*(Брони!$D$2:$D$500&lt;=A848)*Брони!$D$2:$D$500))</f>
        <v/>
      </c>
      <c r="O848" s="19">
        <f>SUMPRODUCT((Брони!$B$2:$B$500=B848)*(Брони!$D$2:$D$500=N848)*((((Брони!$F$2:$F$500="Выдана")*NOW())+((Брони!$F$2:$F$500="Возвращена")*Брони!$E$2:$E$500))&gt;=A848)*Брони!$A$2:$A$500)</f>
        <v/>
      </c>
      <c r="P848" s="19">
        <f>SUMPRODUCT((Брони!$B$2:$B$500=B848)*(Брони!$D$2:$D$500=N848)*(((Брони!$F$2:$F$500="Выдана")+(Брони!$F$2:$F$500="Возвращена"))))</f>
        <v/>
      </c>
      <c r="Q848" s="10" t="n"/>
    </row>
    <row r="849">
      <c r="A849" s="11" t="n"/>
      <c r="B849" s="10" t="n"/>
      <c r="C849" s="10" t="n"/>
      <c r="D849" s="14" t="n"/>
      <c r="E849" s="10" t="n"/>
      <c r="F849" s="20">
        <f>IF(OR(A849="",B849=""),"",IF(OR(NOT(ISNUMBER(A849)),ISERROR(N849+O849+P849)),"Проверьте даты",IF(AND(N849&gt;0,P849&gt;1),"Дубль",IF(AND(N849&gt;0,O849&gt;0),O849,"Вне аренды"))))</f>
        <v/>
      </c>
      <c r="G849" s="12">
        <f>IF(ISNUMBER(F849),IFERROR(INDEX(Брони!$C$2:$C$500,MATCH(F849,Брони!$A$2:$A$500,0)),""),"")</f>
        <v/>
      </c>
      <c r="H849" s="10" t="n"/>
      <c r="I849" s="18" t="n"/>
      <c r="J849" s="12">
        <f>IF(AND(ISNUMBER(F849),I849&lt;&gt;""),IFERROR(IF(AND(INDEX(Брони!$F$2:$F$500,MATCH(F849,Брони!$A$2:$A$500,0))="Возвращена",I849&gt;INDEX(Брони!$E$2:$E$500,MATCH(F849,Брони!$A$2:$A$500,0))),"Да",""),""),"")</f>
        <v/>
      </c>
      <c r="K849" s="10" t="n"/>
      <c r="L849" s="14" t="n"/>
      <c r="M849" s="15">
        <f>IF(OR(A849="",B849=""),"",IF(AND(ISNUMBER(F849),H849&lt;&gt;"Компания"),D849+L849,0))</f>
        <v/>
      </c>
      <c r="N849" s="21">
        <f>SUMPRODUCT(MAX((Брони!$B$2:$B$500=B849)*((Брони!$F$2:$F$500="Выдана")+(Брони!$F$2:$F$500="Возвращена"))*(Брони!$D$2:$D$500&lt;=A849)*Брони!$D$2:$D$500))</f>
        <v/>
      </c>
      <c r="O849" s="19">
        <f>SUMPRODUCT((Брони!$B$2:$B$500=B849)*(Брони!$D$2:$D$500=N849)*((((Брони!$F$2:$F$500="Выдана")*NOW())+((Брони!$F$2:$F$500="Возвращена")*Брони!$E$2:$E$500))&gt;=A849)*Брони!$A$2:$A$500)</f>
        <v/>
      </c>
      <c r="P849" s="19">
        <f>SUMPRODUCT((Брони!$B$2:$B$500=B849)*(Брони!$D$2:$D$500=N849)*(((Брони!$F$2:$F$500="Выдана")+(Брони!$F$2:$F$500="Возвращена"))))</f>
        <v/>
      </c>
      <c r="Q849" s="10" t="n"/>
    </row>
    <row r="850">
      <c r="A850" s="11" t="n"/>
      <c r="B850" s="10" t="n"/>
      <c r="C850" s="10" t="n"/>
      <c r="D850" s="14" t="n"/>
      <c r="E850" s="10" t="n"/>
      <c r="F850" s="20">
        <f>IF(OR(A850="",B850=""),"",IF(OR(NOT(ISNUMBER(A850)),ISERROR(N850+O850+P850)),"Проверьте даты",IF(AND(N850&gt;0,P850&gt;1),"Дубль",IF(AND(N850&gt;0,O850&gt;0),O850,"Вне аренды"))))</f>
        <v/>
      </c>
      <c r="G850" s="12">
        <f>IF(ISNUMBER(F850),IFERROR(INDEX(Брони!$C$2:$C$500,MATCH(F850,Брони!$A$2:$A$500,0)),""),"")</f>
        <v/>
      </c>
      <c r="H850" s="10" t="n"/>
      <c r="I850" s="18" t="n"/>
      <c r="J850" s="12">
        <f>IF(AND(ISNUMBER(F850),I850&lt;&gt;""),IFERROR(IF(AND(INDEX(Брони!$F$2:$F$500,MATCH(F850,Брони!$A$2:$A$500,0))="Возвращена",I850&gt;INDEX(Брони!$E$2:$E$500,MATCH(F850,Брони!$A$2:$A$500,0))),"Да",""),""),"")</f>
        <v/>
      </c>
      <c r="K850" s="10" t="n"/>
      <c r="L850" s="14" t="n"/>
      <c r="M850" s="15">
        <f>IF(OR(A850="",B850=""),"",IF(AND(ISNUMBER(F850),H850&lt;&gt;"Компания"),D850+L850,0))</f>
        <v/>
      </c>
      <c r="N850" s="21">
        <f>SUMPRODUCT(MAX((Брони!$B$2:$B$500=B850)*((Брони!$F$2:$F$500="Выдана")+(Брони!$F$2:$F$500="Возвращена"))*(Брони!$D$2:$D$500&lt;=A850)*Брони!$D$2:$D$500))</f>
        <v/>
      </c>
      <c r="O850" s="19">
        <f>SUMPRODUCT((Брони!$B$2:$B$500=B850)*(Брони!$D$2:$D$500=N850)*((((Брони!$F$2:$F$500="Выдана")*NOW())+((Брони!$F$2:$F$500="Возвращена")*Брони!$E$2:$E$500))&gt;=A850)*Брони!$A$2:$A$500)</f>
        <v/>
      </c>
      <c r="P850" s="19">
        <f>SUMPRODUCT((Брони!$B$2:$B$500=B850)*(Брони!$D$2:$D$500=N850)*(((Брони!$F$2:$F$500="Выдана")+(Брони!$F$2:$F$500="Возвращена"))))</f>
        <v/>
      </c>
      <c r="Q850" s="10" t="n"/>
    </row>
    <row r="851">
      <c r="A851" s="11" t="n"/>
      <c r="B851" s="10" t="n"/>
      <c r="C851" s="10" t="n"/>
      <c r="D851" s="14" t="n"/>
      <c r="E851" s="10" t="n"/>
      <c r="F851" s="20">
        <f>IF(OR(A851="",B851=""),"",IF(OR(NOT(ISNUMBER(A851)),ISERROR(N851+O851+P851)),"Проверьте даты",IF(AND(N851&gt;0,P851&gt;1),"Дубль",IF(AND(N851&gt;0,O851&gt;0),O851,"Вне аренды"))))</f>
        <v/>
      </c>
      <c r="G851" s="12">
        <f>IF(ISNUMBER(F851),IFERROR(INDEX(Брони!$C$2:$C$500,MATCH(F851,Брони!$A$2:$A$500,0)),""),"")</f>
        <v/>
      </c>
      <c r="H851" s="10" t="n"/>
      <c r="I851" s="18" t="n"/>
      <c r="J851" s="12">
        <f>IF(AND(ISNUMBER(F851),I851&lt;&gt;""),IFERROR(IF(AND(INDEX(Брони!$F$2:$F$500,MATCH(F851,Брони!$A$2:$A$500,0))="Возвращена",I851&gt;INDEX(Брони!$E$2:$E$500,MATCH(F851,Брони!$A$2:$A$500,0))),"Да",""),""),"")</f>
        <v/>
      </c>
      <c r="K851" s="10" t="n"/>
      <c r="L851" s="14" t="n"/>
      <c r="M851" s="15">
        <f>IF(OR(A851="",B851=""),"",IF(AND(ISNUMBER(F851),H851&lt;&gt;"Компания"),D851+L851,0))</f>
        <v/>
      </c>
      <c r="N851" s="21">
        <f>SUMPRODUCT(MAX((Брони!$B$2:$B$500=B851)*((Брони!$F$2:$F$500="Выдана")+(Брони!$F$2:$F$500="Возвращена"))*(Брони!$D$2:$D$500&lt;=A851)*Брони!$D$2:$D$500))</f>
        <v/>
      </c>
      <c r="O851" s="19">
        <f>SUMPRODUCT((Брони!$B$2:$B$500=B851)*(Брони!$D$2:$D$500=N851)*((((Брони!$F$2:$F$500="Выдана")*NOW())+((Брони!$F$2:$F$500="Возвращена")*Брони!$E$2:$E$500))&gt;=A851)*Брони!$A$2:$A$500)</f>
        <v/>
      </c>
      <c r="P851" s="19">
        <f>SUMPRODUCT((Брони!$B$2:$B$500=B851)*(Брони!$D$2:$D$500=N851)*(((Брони!$F$2:$F$500="Выдана")+(Брони!$F$2:$F$500="Возвращена"))))</f>
        <v/>
      </c>
      <c r="Q851" s="10" t="n"/>
    </row>
    <row r="852">
      <c r="A852" s="11" t="n"/>
      <c r="B852" s="10" t="n"/>
      <c r="C852" s="10" t="n"/>
      <c r="D852" s="14" t="n"/>
      <c r="E852" s="10" t="n"/>
      <c r="F852" s="20">
        <f>IF(OR(A852="",B852=""),"",IF(OR(NOT(ISNUMBER(A852)),ISERROR(N852+O852+P852)),"Проверьте даты",IF(AND(N852&gt;0,P852&gt;1),"Дубль",IF(AND(N852&gt;0,O852&gt;0),O852,"Вне аренды"))))</f>
        <v/>
      </c>
      <c r="G852" s="12">
        <f>IF(ISNUMBER(F852),IFERROR(INDEX(Брони!$C$2:$C$500,MATCH(F852,Брони!$A$2:$A$500,0)),""),"")</f>
        <v/>
      </c>
      <c r="H852" s="10" t="n"/>
      <c r="I852" s="18" t="n"/>
      <c r="J852" s="12">
        <f>IF(AND(ISNUMBER(F852),I852&lt;&gt;""),IFERROR(IF(AND(INDEX(Брони!$F$2:$F$500,MATCH(F852,Брони!$A$2:$A$500,0))="Возвращена",I852&gt;INDEX(Брони!$E$2:$E$500,MATCH(F852,Брони!$A$2:$A$500,0))),"Да",""),""),"")</f>
        <v/>
      </c>
      <c r="K852" s="10" t="n"/>
      <c r="L852" s="14" t="n"/>
      <c r="M852" s="15">
        <f>IF(OR(A852="",B852=""),"",IF(AND(ISNUMBER(F852),H852&lt;&gt;"Компания"),D852+L852,0))</f>
        <v/>
      </c>
      <c r="N852" s="21">
        <f>SUMPRODUCT(MAX((Брони!$B$2:$B$500=B852)*((Брони!$F$2:$F$500="Выдана")+(Брони!$F$2:$F$500="Возвращена"))*(Брони!$D$2:$D$500&lt;=A852)*Брони!$D$2:$D$500))</f>
        <v/>
      </c>
      <c r="O852" s="19">
        <f>SUMPRODUCT((Брони!$B$2:$B$500=B852)*(Брони!$D$2:$D$500=N852)*((((Брони!$F$2:$F$500="Выдана")*NOW())+((Брони!$F$2:$F$500="Возвращена")*Брони!$E$2:$E$500))&gt;=A852)*Брони!$A$2:$A$500)</f>
        <v/>
      </c>
      <c r="P852" s="19">
        <f>SUMPRODUCT((Брони!$B$2:$B$500=B852)*(Брони!$D$2:$D$500=N852)*(((Брони!$F$2:$F$500="Выдана")+(Брони!$F$2:$F$500="Возвращена"))))</f>
        <v/>
      </c>
      <c r="Q852" s="10" t="n"/>
    </row>
    <row r="853">
      <c r="A853" s="11" t="n"/>
      <c r="B853" s="10" t="n"/>
      <c r="C853" s="10" t="n"/>
      <c r="D853" s="14" t="n"/>
      <c r="E853" s="10" t="n"/>
      <c r="F853" s="20">
        <f>IF(OR(A853="",B853=""),"",IF(OR(NOT(ISNUMBER(A853)),ISERROR(N853+O853+P853)),"Проверьте даты",IF(AND(N853&gt;0,P853&gt;1),"Дубль",IF(AND(N853&gt;0,O853&gt;0),O853,"Вне аренды"))))</f>
        <v/>
      </c>
      <c r="G853" s="12">
        <f>IF(ISNUMBER(F853),IFERROR(INDEX(Брони!$C$2:$C$500,MATCH(F853,Брони!$A$2:$A$500,0)),""),"")</f>
        <v/>
      </c>
      <c r="H853" s="10" t="n"/>
      <c r="I853" s="18" t="n"/>
      <c r="J853" s="12">
        <f>IF(AND(ISNUMBER(F853),I853&lt;&gt;""),IFERROR(IF(AND(INDEX(Брони!$F$2:$F$500,MATCH(F853,Брони!$A$2:$A$500,0))="Возвращена",I853&gt;INDEX(Брони!$E$2:$E$500,MATCH(F853,Брони!$A$2:$A$500,0))),"Да",""),""),"")</f>
        <v/>
      </c>
      <c r="K853" s="10" t="n"/>
      <c r="L853" s="14" t="n"/>
      <c r="M853" s="15">
        <f>IF(OR(A853="",B853=""),"",IF(AND(ISNUMBER(F853),H853&lt;&gt;"Компания"),D853+L853,0))</f>
        <v/>
      </c>
      <c r="N853" s="21">
        <f>SUMPRODUCT(MAX((Брони!$B$2:$B$500=B853)*((Брони!$F$2:$F$500="Выдана")+(Брони!$F$2:$F$500="Возвращена"))*(Брони!$D$2:$D$500&lt;=A853)*Брони!$D$2:$D$500))</f>
        <v/>
      </c>
      <c r="O853" s="19">
        <f>SUMPRODUCT((Брони!$B$2:$B$500=B853)*(Брони!$D$2:$D$500=N853)*((((Брони!$F$2:$F$500="Выдана")*NOW())+((Брони!$F$2:$F$500="Возвращена")*Брони!$E$2:$E$500))&gt;=A853)*Брони!$A$2:$A$500)</f>
        <v/>
      </c>
      <c r="P853" s="19">
        <f>SUMPRODUCT((Брони!$B$2:$B$500=B853)*(Брони!$D$2:$D$500=N853)*(((Брони!$F$2:$F$500="Выдана")+(Брони!$F$2:$F$500="Возвращена"))))</f>
        <v/>
      </c>
      <c r="Q853" s="10" t="n"/>
    </row>
    <row r="854">
      <c r="A854" s="11" t="n"/>
      <c r="B854" s="10" t="n"/>
      <c r="C854" s="10" t="n"/>
      <c r="D854" s="14" t="n"/>
      <c r="E854" s="10" t="n"/>
      <c r="F854" s="20">
        <f>IF(OR(A854="",B854=""),"",IF(OR(NOT(ISNUMBER(A854)),ISERROR(N854+O854+P854)),"Проверьте даты",IF(AND(N854&gt;0,P854&gt;1),"Дубль",IF(AND(N854&gt;0,O854&gt;0),O854,"Вне аренды"))))</f>
        <v/>
      </c>
      <c r="G854" s="12">
        <f>IF(ISNUMBER(F854),IFERROR(INDEX(Брони!$C$2:$C$500,MATCH(F854,Брони!$A$2:$A$500,0)),""),"")</f>
        <v/>
      </c>
      <c r="H854" s="10" t="n"/>
      <c r="I854" s="18" t="n"/>
      <c r="J854" s="12">
        <f>IF(AND(ISNUMBER(F854),I854&lt;&gt;""),IFERROR(IF(AND(INDEX(Брони!$F$2:$F$500,MATCH(F854,Брони!$A$2:$A$500,0))="Возвращена",I854&gt;INDEX(Брони!$E$2:$E$500,MATCH(F854,Брони!$A$2:$A$500,0))),"Да",""),""),"")</f>
        <v/>
      </c>
      <c r="K854" s="10" t="n"/>
      <c r="L854" s="14" t="n"/>
      <c r="M854" s="15">
        <f>IF(OR(A854="",B854=""),"",IF(AND(ISNUMBER(F854),H854&lt;&gt;"Компания"),D854+L854,0))</f>
        <v/>
      </c>
      <c r="N854" s="21">
        <f>SUMPRODUCT(MAX((Брони!$B$2:$B$500=B854)*((Брони!$F$2:$F$500="Выдана")+(Брони!$F$2:$F$500="Возвращена"))*(Брони!$D$2:$D$500&lt;=A854)*Брони!$D$2:$D$500))</f>
        <v/>
      </c>
      <c r="O854" s="19">
        <f>SUMPRODUCT((Брони!$B$2:$B$500=B854)*(Брони!$D$2:$D$500=N854)*((((Брони!$F$2:$F$500="Выдана")*NOW())+((Брони!$F$2:$F$500="Возвращена")*Брони!$E$2:$E$500))&gt;=A854)*Брони!$A$2:$A$500)</f>
        <v/>
      </c>
      <c r="P854" s="19">
        <f>SUMPRODUCT((Брони!$B$2:$B$500=B854)*(Брони!$D$2:$D$500=N854)*(((Брони!$F$2:$F$500="Выдана")+(Брони!$F$2:$F$500="Возвращена"))))</f>
        <v/>
      </c>
      <c r="Q854" s="10" t="n"/>
    </row>
    <row r="855">
      <c r="A855" s="11" t="n"/>
      <c r="B855" s="10" t="n"/>
      <c r="C855" s="10" t="n"/>
      <c r="D855" s="14" t="n"/>
      <c r="E855" s="10" t="n"/>
      <c r="F855" s="20">
        <f>IF(OR(A855="",B855=""),"",IF(OR(NOT(ISNUMBER(A855)),ISERROR(N855+O855+P855)),"Проверьте даты",IF(AND(N855&gt;0,P855&gt;1),"Дубль",IF(AND(N855&gt;0,O855&gt;0),O855,"Вне аренды"))))</f>
        <v/>
      </c>
      <c r="G855" s="12">
        <f>IF(ISNUMBER(F855),IFERROR(INDEX(Брони!$C$2:$C$500,MATCH(F855,Брони!$A$2:$A$500,0)),""),"")</f>
        <v/>
      </c>
      <c r="H855" s="10" t="n"/>
      <c r="I855" s="18" t="n"/>
      <c r="J855" s="12">
        <f>IF(AND(ISNUMBER(F855),I855&lt;&gt;""),IFERROR(IF(AND(INDEX(Брони!$F$2:$F$500,MATCH(F855,Брони!$A$2:$A$500,0))="Возвращена",I855&gt;INDEX(Брони!$E$2:$E$500,MATCH(F855,Брони!$A$2:$A$500,0))),"Да",""),""),"")</f>
        <v/>
      </c>
      <c r="K855" s="10" t="n"/>
      <c r="L855" s="14" t="n"/>
      <c r="M855" s="15">
        <f>IF(OR(A855="",B855=""),"",IF(AND(ISNUMBER(F855),H855&lt;&gt;"Компания"),D855+L855,0))</f>
        <v/>
      </c>
      <c r="N855" s="21">
        <f>SUMPRODUCT(MAX((Брони!$B$2:$B$500=B855)*((Брони!$F$2:$F$500="Выдана")+(Брони!$F$2:$F$500="Возвращена"))*(Брони!$D$2:$D$500&lt;=A855)*Брони!$D$2:$D$500))</f>
        <v/>
      </c>
      <c r="O855" s="19">
        <f>SUMPRODUCT((Брони!$B$2:$B$500=B855)*(Брони!$D$2:$D$500=N855)*((((Брони!$F$2:$F$500="Выдана")*NOW())+((Брони!$F$2:$F$500="Возвращена")*Брони!$E$2:$E$500))&gt;=A855)*Брони!$A$2:$A$500)</f>
        <v/>
      </c>
      <c r="P855" s="19">
        <f>SUMPRODUCT((Брони!$B$2:$B$500=B855)*(Брони!$D$2:$D$500=N855)*(((Брони!$F$2:$F$500="Выдана")+(Брони!$F$2:$F$500="Возвращена"))))</f>
        <v/>
      </c>
      <c r="Q855" s="10" t="n"/>
    </row>
    <row r="856">
      <c r="A856" s="11" t="n"/>
      <c r="B856" s="10" t="n"/>
      <c r="C856" s="10" t="n"/>
      <c r="D856" s="14" t="n"/>
      <c r="E856" s="10" t="n"/>
      <c r="F856" s="20">
        <f>IF(OR(A856="",B856=""),"",IF(OR(NOT(ISNUMBER(A856)),ISERROR(N856+O856+P856)),"Проверьте даты",IF(AND(N856&gt;0,P856&gt;1),"Дубль",IF(AND(N856&gt;0,O856&gt;0),O856,"Вне аренды"))))</f>
        <v/>
      </c>
      <c r="G856" s="12">
        <f>IF(ISNUMBER(F856),IFERROR(INDEX(Брони!$C$2:$C$500,MATCH(F856,Брони!$A$2:$A$500,0)),""),"")</f>
        <v/>
      </c>
      <c r="H856" s="10" t="n"/>
      <c r="I856" s="18" t="n"/>
      <c r="J856" s="12">
        <f>IF(AND(ISNUMBER(F856),I856&lt;&gt;""),IFERROR(IF(AND(INDEX(Брони!$F$2:$F$500,MATCH(F856,Брони!$A$2:$A$500,0))="Возвращена",I856&gt;INDEX(Брони!$E$2:$E$500,MATCH(F856,Брони!$A$2:$A$500,0))),"Да",""),""),"")</f>
        <v/>
      </c>
      <c r="K856" s="10" t="n"/>
      <c r="L856" s="14" t="n"/>
      <c r="M856" s="15">
        <f>IF(OR(A856="",B856=""),"",IF(AND(ISNUMBER(F856),H856&lt;&gt;"Компания"),D856+L856,0))</f>
        <v/>
      </c>
      <c r="N856" s="21">
        <f>SUMPRODUCT(MAX((Брони!$B$2:$B$500=B856)*((Брони!$F$2:$F$500="Выдана")+(Брони!$F$2:$F$500="Возвращена"))*(Брони!$D$2:$D$500&lt;=A856)*Брони!$D$2:$D$500))</f>
        <v/>
      </c>
      <c r="O856" s="19">
        <f>SUMPRODUCT((Брони!$B$2:$B$500=B856)*(Брони!$D$2:$D$500=N856)*((((Брони!$F$2:$F$500="Выдана")*NOW())+((Брони!$F$2:$F$500="Возвращена")*Брони!$E$2:$E$500))&gt;=A856)*Брони!$A$2:$A$500)</f>
        <v/>
      </c>
      <c r="P856" s="19">
        <f>SUMPRODUCT((Брони!$B$2:$B$500=B856)*(Брони!$D$2:$D$500=N856)*(((Брони!$F$2:$F$500="Выдана")+(Брони!$F$2:$F$500="Возвращена"))))</f>
        <v/>
      </c>
      <c r="Q856" s="10" t="n"/>
    </row>
    <row r="857">
      <c r="A857" s="11" t="n"/>
      <c r="B857" s="10" t="n"/>
      <c r="C857" s="10" t="n"/>
      <c r="D857" s="14" t="n"/>
      <c r="E857" s="10" t="n"/>
      <c r="F857" s="20">
        <f>IF(OR(A857="",B857=""),"",IF(OR(NOT(ISNUMBER(A857)),ISERROR(N857+O857+P857)),"Проверьте даты",IF(AND(N857&gt;0,P857&gt;1),"Дубль",IF(AND(N857&gt;0,O857&gt;0),O857,"Вне аренды"))))</f>
        <v/>
      </c>
      <c r="G857" s="12">
        <f>IF(ISNUMBER(F857),IFERROR(INDEX(Брони!$C$2:$C$500,MATCH(F857,Брони!$A$2:$A$500,0)),""),"")</f>
        <v/>
      </c>
      <c r="H857" s="10" t="n"/>
      <c r="I857" s="18" t="n"/>
      <c r="J857" s="12">
        <f>IF(AND(ISNUMBER(F857),I857&lt;&gt;""),IFERROR(IF(AND(INDEX(Брони!$F$2:$F$500,MATCH(F857,Брони!$A$2:$A$500,0))="Возвращена",I857&gt;INDEX(Брони!$E$2:$E$500,MATCH(F857,Брони!$A$2:$A$500,0))),"Да",""),""),"")</f>
        <v/>
      </c>
      <c r="K857" s="10" t="n"/>
      <c r="L857" s="14" t="n"/>
      <c r="M857" s="15">
        <f>IF(OR(A857="",B857=""),"",IF(AND(ISNUMBER(F857),H857&lt;&gt;"Компания"),D857+L857,0))</f>
        <v/>
      </c>
      <c r="N857" s="21">
        <f>SUMPRODUCT(MAX((Брони!$B$2:$B$500=B857)*((Брони!$F$2:$F$500="Выдана")+(Брони!$F$2:$F$500="Возвращена"))*(Брони!$D$2:$D$500&lt;=A857)*Брони!$D$2:$D$500))</f>
        <v/>
      </c>
      <c r="O857" s="19">
        <f>SUMPRODUCT((Брони!$B$2:$B$500=B857)*(Брони!$D$2:$D$500=N857)*((((Брони!$F$2:$F$500="Выдана")*NOW())+((Брони!$F$2:$F$500="Возвращена")*Брони!$E$2:$E$500))&gt;=A857)*Брони!$A$2:$A$500)</f>
        <v/>
      </c>
      <c r="P857" s="19">
        <f>SUMPRODUCT((Брони!$B$2:$B$500=B857)*(Брони!$D$2:$D$500=N857)*(((Брони!$F$2:$F$500="Выдана")+(Брони!$F$2:$F$500="Возвращена"))))</f>
        <v/>
      </c>
      <c r="Q857" s="10" t="n"/>
    </row>
    <row r="858">
      <c r="A858" s="11" t="n"/>
      <c r="B858" s="10" t="n"/>
      <c r="C858" s="10" t="n"/>
      <c r="D858" s="14" t="n"/>
      <c r="E858" s="10" t="n"/>
      <c r="F858" s="20">
        <f>IF(OR(A858="",B858=""),"",IF(OR(NOT(ISNUMBER(A858)),ISERROR(N858+O858+P858)),"Проверьте даты",IF(AND(N858&gt;0,P858&gt;1),"Дубль",IF(AND(N858&gt;0,O858&gt;0),O858,"Вне аренды"))))</f>
        <v/>
      </c>
      <c r="G858" s="12">
        <f>IF(ISNUMBER(F858),IFERROR(INDEX(Брони!$C$2:$C$500,MATCH(F858,Брони!$A$2:$A$500,0)),""),"")</f>
        <v/>
      </c>
      <c r="H858" s="10" t="n"/>
      <c r="I858" s="18" t="n"/>
      <c r="J858" s="12">
        <f>IF(AND(ISNUMBER(F858),I858&lt;&gt;""),IFERROR(IF(AND(INDEX(Брони!$F$2:$F$500,MATCH(F858,Брони!$A$2:$A$500,0))="Возвращена",I858&gt;INDEX(Брони!$E$2:$E$500,MATCH(F858,Брони!$A$2:$A$500,0))),"Да",""),""),"")</f>
        <v/>
      </c>
      <c r="K858" s="10" t="n"/>
      <c r="L858" s="14" t="n"/>
      <c r="M858" s="15">
        <f>IF(OR(A858="",B858=""),"",IF(AND(ISNUMBER(F858),H858&lt;&gt;"Компания"),D858+L858,0))</f>
        <v/>
      </c>
      <c r="N858" s="21">
        <f>SUMPRODUCT(MAX((Брони!$B$2:$B$500=B858)*((Брони!$F$2:$F$500="Выдана")+(Брони!$F$2:$F$500="Возвращена"))*(Брони!$D$2:$D$500&lt;=A858)*Брони!$D$2:$D$500))</f>
        <v/>
      </c>
      <c r="O858" s="19">
        <f>SUMPRODUCT((Брони!$B$2:$B$500=B858)*(Брони!$D$2:$D$500=N858)*((((Брони!$F$2:$F$500="Выдана")*NOW())+((Брони!$F$2:$F$500="Возвращена")*Брони!$E$2:$E$500))&gt;=A858)*Брони!$A$2:$A$500)</f>
        <v/>
      </c>
      <c r="P858" s="19">
        <f>SUMPRODUCT((Брони!$B$2:$B$500=B858)*(Брони!$D$2:$D$500=N858)*(((Брони!$F$2:$F$500="Выдана")+(Брони!$F$2:$F$500="Возвращена"))))</f>
        <v/>
      </c>
      <c r="Q858" s="10" t="n"/>
    </row>
    <row r="859">
      <c r="A859" s="11" t="n"/>
      <c r="B859" s="10" t="n"/>
      <c r="C859" s="10" t="n"/>
      <c r="D859" s="14" t="n"/>
      <c r="E859" s="10" t="n"/>
      <c r="F859" s="20">
        <f>IF(OR(A859="",B859=""),"",IF(OR(NOT(ISNUMBER(A859)),ISERROR(N859+O859+P859)),"Проверьте даты",IF(AND(N859&gt;0,P859&gt;1),"Дубль",IF(AND(N859&gt;0,O859&gt;0),O859,"Вне аренды"))))</f>
        <v/>
      </c>
      <c r="G859" s="12">
        <f>IF(ISNUMBER(F859),IFERROR(INDEX(Брони!$C$2:$C$500,MATCH(F859,Брони!$A$2:$A$500,0)),""),"")</f>
        <v/>
      </c>
      <c r="H859" s="10" t="n"/>
      <c r="I859" s="18" t="n"/>
      <c r="J859" s="12">
        <f>IF(AND(ISNUMBER(F859),I859&lt;&gt;""),IFERROR(IF(AND(INDEX(Брони!$F$2:$F$500,MATCH(F859,Брони!$A$2:$A$500,0))="Возвращена",I859&gt;INDEX(Брони!$E$2:$E$500,MATCH(F859,Брони!$A$2:$A$500,0))),"Да",""),""),"")</f>
        <v/>
      </c>
      <c r="K859" s="10" t="n"/>
      <c r="L859" s="14" t="n"/>
      <c r="M859" s="15">
        <f>IF(OR(A859="",B859=""),"",IF(AND(ISNUMBER(F859),H859&lt;&gt;"Компания"),D859+L859,0))</f>
        <v/>
      </c>
      <c r="N859" s="21">
        <f>SUMPRODUCT(MAX((Брони!$B$2:$B$500=B859)*((Брони!$F$2:$F$500="Выдана")+(Брони!$F$2:$F$500="Возвращена"))*(Брони!$D$2:$D$500&lt;=A859)*Брони!$D$2:$D$500))</f>
        <v/>
      </c>
      <c r="O859" s="19">
        <f>SUMPRODUCT((Брони!$B$2:$B$500=B859)*(Брони!$D$2:$D$500=N859)*((((Брони!$F$2:$F$500="Выдана")*NOW())+((Брони!$F$2:$F$500="Возвращена")*Брони!$E$2:$E$500))&gt;=A859)*Брони!$A$2:$A$500)</f>
        <v/>
      </c>
      <c r="P859" s="19">
        <f>SUMPRODUCT((Брони!$B$2:$B$500=B859)*(Брони!$D$2:$D$500=N859)*(((Брони!$F$2:$F$500="Выдана")+(Брони!$F$2:$F$500="Возвращена"))))</f>
        <v/>
      </c>
      <c r="Q859" s="10" t="n"/>
    </row>
    <row r="860">
      <c r="A860" s="11" t="n"/>
      <c r="B860" s="10" t="n"/>
      <c r="C860" s="10" t="n"/>
      <c r="D860" s="14" t="n"/>
      <c r="E860" s="10" t="n"/>
      <c r="F860" s="20">
        <f>IF(OR(A860="",B860=""),"",IF(OR(NOT(ISNUMBER(A860)),ISERROR(N860+O860+P860)),"Проверьте даты",IF(AND(N860&gt;0,P860&gt;1),"Дубль",IF(AND(N860&gt;0,O860&gt;0),O860,"Вне аренды"))))</f>
        <v/>
      </c>
      <c r="G860" s="12">
        <f>IF(ISNUMBER(F860),IFERROR(INDEX(Брони!$C$2:$C$500,MATCH(F860,Брони!$A$2:$A$500,0)),""),"")</f>
        <v/>
      </c>
      <c r="H860" s="10" t="n"/>
      <c r="I860" s="18" t="n"/>
      <c r="J860" s="12">
        <f>IF(AND(ISNUMBER(F860),I860&lt;&gt;""),IFERROR(IF(AND(INDEX(Брони!$F$2:$F$500,MATCH(F860,Брони!$A$2:$A$500,0))="Возвращена",I860&gt;INDEX(Брони!$E$2:$E$500,MATCH(F860,Брони!$A$2:$A$500,0))),"Да",""),""),"")</f>
        <v/>
      </c>
      <c r="K860" s="10" t="n"/>
      <c r="L860" s="14" t="n"/>
      <c r="M860" s="15">
        <f>IF(OR(A860="",B860=""),"",IF(AND(ISNUMBER(F860),H860&lt;&gt;"Компания"),D860+L860,0))</f>
        <v/>
      </c>
      <c r="N860" s="21">
        <f>SUMPRODUCT(MAX((Брони!$B$2:$B$500=B860)*((Брони!$F$2:$F$500="Выдана")+(Брони!$F$2:$F$500="Возвращена"))*(Брони!$D$2:$D$500&lt;=A860)*Брони!$D$2:$D$500))</f>
        <v/>
      </c>
      <c r="O860" s="19">
        <f>SUMPRODUCT((Брони!$B$2:$B$500=B860)*(Брони!$D$2:$D$500=N860)*((((Брони!$F$2:$F$500="Выдана")*NOW())+((Брони!$F$2:$F$500="Возвращена")*Брони!$E$2:$E$500))&gt;=A860)*Брони!$A$2:$A$500)</f>
        <v/>
      </c>
      <c r="P860" s="19">
        <f>SUMPRODUCT((Брони!$B$2:$B$500=B860)*(Брони!$D$2:$D$500=N860)*(((Брони!$F$2:$F$500="Выдана")+(Брони!$F$2:$F$500="Возвращена"))))</f>
        <v/>
      </c>
      <c r="Q860" s="10" t="n"/>
    </row>
    <row r="861">
      <c r="A861" s="11" t="n"/>
      <c r="B861" s="10" t="n"/>
      <c r="C861" s="10" t="n"/>
      <c r="D861" s="14" t="n"/>
      <c r="E861" s="10" t="n"/>
      <c r="F861" s="20">
        <f>IF(OR(A861="",B861=""),"",IF(OR(NOT(ISNUMBER(A861)),ISERROR(N861+O861+P861)),"Проверьте даты",IF(AND(N861&gt;0,P861&gt;1),"Дубль",IF(AND(N861&gt;0,O861&gt;0),O861,"Вне аренды"))))</f>
        <v/>
      </c>
      <c r="G861" s="12">
        <f>IF(ISNUMBER(F861),IFERROR(INDEX(Брони!$C$2:$C$500,MATCH(F861,Брони!$A$2:$A$500,0)),""),"")</f>
        <v/>
      </c>
      <c r="H861" s="10" t="n"/>
      <c r="I861" s="18" t="n"/>
      <c r="J861" s="12">
        <f>IF(AND(ISNUMBER(F861),I861&lt;&gt;""),IFERROR(IF(AND(INDEX(Брони!$F$2:$F$500,MATCH(F861,Брони!$A$2:$A$500,0))="Возвращена",I861&gt;INDEX(Брони!$E$2:$E$500,MATCH(F861,Брони!$A$2:$A$500,0))),"Да",""),""),"")</f>
        <v/>
      </c>
      <c r="K861" s="10" t="n"/>
      <c r="L861" s="14" t="n"/>
      <c r="M861" s="15">
        <f>IF(OR(A861="",B861=""),"",IF(AND(ISNUMBER(F861),H861&lt;&gt;"Компания"),D861+L861,0))</f>
        <v/>
      </c>
      <c r="N861" s="21">
        <f>SUMPRODUCT(MAX((Брони!$B$2:$B$500=B861)*((Брони!$F$2:$F$500="Выдана")+(Брони!$F$2:$F$500="Возвращена"))*(Брони!$D$2:$D$500&lt;=A861)*Брони!$D$2:$D$500))</f>
        <v/>
      </c>
      <c r="O861" s="19">
        <f>SUMPRODUCT((Брони!$B$2:$B$500=B861)*(Брони!$D$2:$D$500=N861)*((((Брони!$F$2:$F$500="Выдана")*NOW())+((Брони!$F$2:$F$500="Возвращена")*Брони!$E$2:$E$500))&gt;=A861)*Брони!$A$2:$A$500)</f>
        <v/>
      </c>
      <c r="P861" s="19">
        <f>SUMPRODUCT((Брони!$B$2:$B$500=B861)*(Брони!$D$2:$D$500=N861)*(((Брони!$F$2:$F$500="Выдана")+(Брони!$F$2:$F$500="Возвращена"))))</f>
        <v/>
      </c>
      <c r="Q861" s="10" t="n"/>
    </row>
    <row r="862">
      <c r="A862" s="11" t="n"/>
      <c r="B862" s="10" t="n"/>
      <c r="C862" s="10" t="n"/>
      <c r="D862" s="14" t="n"/>
      <c r="E862" s="10" t="n"/>
      <c r="F862" s="20">
        <f>IF(OR(A862="",B862=""),"",IF(OR(NOT(ISNUMBER(A862)),ISERROR(N862+O862+P862)),"Проверьте даты",IF(AND(N862&gt;0,P862&gt;1),"Дубль",IF(AND(N862&gt;0,O862&gt;0),O862,"Вне аренды"))))</f>
        <v/>
      </c>
      <c r="G862" s="12">
        <f>IF(ISNUMBER(F862),IFERROR(INDEX(Брони!$C$2:$C$500,MATCH(F862,Брони!$A$2:$A$500,0)),""),"")</f>
        <v/>
      </c>
      <c r="H862" s="10" t="n"/>
      <c r="I862" s="18" t="n"/>
      <c r="J862" s="12">
        <f>IF(AND(ISNUMBER(F862),I862&lt;&gt;""),IFERROR(IF(AND(INDEX(Брони!$F$2:$F$500,MATCH(F862,Брони!$A$2:$A$500,0))="Возвращена",I862&gt;INDEX(Брони!$E$2:$E$500,MATCH(F862,Брони!$A$2:$A$500,0))),"Да",""),""),"")</f>
        <v/>
      </c>
      <c r="K862" s="10" t="n"/>
      <c r="L862" s="14" t="n"/>
      <c r="M862" s="15">
        <f>IF(OR(A862="",B862=""),"",IF(AND(ISNUMBER(F862),H862&lt;&gt;"Компания"),D862+L862,0))</f>
        <v/>
      </c>
      <c r="N862" s="21">
        <f>SUMPRODUCT(MAX((Брони!$B$2:$B$500=B862)*((Брони!$F$2:$F$500="Выдана")+(Брони!$F$2:$F$500="Возвращена"))*(Брони!$D$2:$D$500&lt;=A862)*Брони!$D$2:$D$500))</f>
        <v/>
      </c>
      <c r="O862" s="19">
        <f>SUMPRODUCT((Брони!$B$2:$B$500=B862)*(Брони!$D$2:$D$500=N862)*((((Брони!$F$2:$F$500="Выдана")*NOW())+((Брони!$F$2:$F$500="Возвращена")*Брони!$E$2:$E$500))&gt;=A862)*Брони!$A$2:$A$500)</f>
        <v/>
      </c>
      <c r="P862" s="19">
        <f>SUMPRODUCT((Брони!$B$2:$B$500=B862)*(Брони!$D$2:$D$500=N862)*(((Брони!$F$2:$F$500="Выдана")+(Брони!$F$2:$F$500="Возвращена"))))</f>
        <v/>
      </c>
      <c r="Q862" s="10" t="n"/>
    </row>
    <row r="863">
      <c r="A863" s="11" t="n"/>
      <c r="B863" s="10" t="n"/>
      <c r="C863" s="10" t="n"/>
      <c r="D863" s="14" t="n"/>
      <c r="E863" s="10" t="n"/>
      <c r="F863" s="20">
        <f>IF(OR(A863="",B863=""),"",IF(OR(NOT(ISNUMBER(A863)),ISERROR(N863+O863+P863)),"Проверьте даты",IF(AND(N863&gt;0,P863&gt;1),"Дубль",IF(AND(N863&gt;0,O863&gt;0),O863,"Вне аренды"))))</f>
        <v/>
      </c>
      <c r="G863" s="12">
        <f>IF(ISNUMBER(F863),IFERROR(INDEX(Брони!$C$2:$C$500,MATCH(F863,Брони!$A$2:$A$500,0)),""),"")</f>
        <v/>
      </c>
      <c r="H863" s="10" t="n"/>
      <c r="I863" s="18" t="n"/>
      <c r="J863" s="12">
        <f>IF(AND(ISNUMBER(F863),I863&lt;&gt;""),IFERROR(IF(AND(INDEX(Брони!$F$2:$F$500,MATCH(F863,Брони!$A$2:$A$500,0))="Возвращена",I863&gt;INDEX(Брони!$E$2:$E$500,MATCH(F863,Брони!$A$2:$A$500,0))),"Да",""),""),"")</f>
        <v/>
      </c>
      <c r="K863" s="10" t="n"/>
      <c r="L863" s="14" t="n"/>
      <c r="M863" s="15">
        <f>IF(OR(A863="",B863=""),"",IF(AND(ISNUMBER(F863),H863&lt;&gt;"Компания"),D863+L863,0))</f>
        <v/>
      </c>
      <c r="N863" s="21">
        <f>SUMPRODUCT(MAX((Брони!$B$2:$B$500=B863)*((Брони!$F$2:$F$500="Выдана")+(Брони!$F$2:$F$500="Возвращена"))*(Брони!$D$2:$D$500&lt;=A863)*Брони!$D$2:$D$500))</f>
        <v/>
      </c>
      <c r="O863" s="19">
        <f>SUMPRODUCT((Брони!$B$2:$B$500=B863)*(Брони!$D$2:$D$500=N863)*((((Брони!$F$2:$F$500="Выдана")*NOW())+((Брони!$F$2:$F$500="Возвращена")*Брони!$E$2:$E$500))&gt;=A863)*Брони!$A$2:$A$500)</f>
        <v/>
      </c>
      <c r="P863" s="19">
        <f>SUMPRODUCT((Брони!$B$2:$B$500=B863)*(Брони!$D$2:$D$500=N863)*(((Брони!$F$2:$F$500="Выдана")+(Брони!$F$2:$F$500="Возвращена"))))</f>
        <v/>
      </c>
      <c r="Q863" s="10" t="n"/>
    </row>
    <row r="864">
      <c r="A864" s="11" t="n"/>
      <c r="B864" s="10" t="n"/>
      <c r="C864" s="10" t="n"/>
      <c r="D864" s="14" t="n"/>
      <c r="E864" s="10" t="n"/>
      <c r="F864" s="20">
        <f>IF(OR(A864="",B864=""),"",IF(OR(NOT(ISNUMBER(A864)),ISERROR(N864+O864+P864)),"Проверьте даты",IF(AND(N864&gt;0,P864&gt;1),"Дубль",IF(AND(N864&gt;0,O864&gt;0),O864,"Вне аренды"))))</f>
        <v/>
      </c>
      <c r="G864" s="12">
        <f>IF(ISNUMBER(F864),IFERROR(INDEX(Брони!$C$2:$C$500,MATCH(F864,Брони!$A$2:$A$500,0)),""),"")</f>
        <v/>
      </c>
      <c r="H864" s="10" t="n"/>
      <c r="I864" s="18" t="n"/>
      <c r="J864" s="12">
        <f>IF(AND(ISNUMBER(F864),I864&lt;&gt;""),IFERROR(IF(AND(INDEX(Брони!$F$2:$F$500,MATCH(F864,Брони!$A$2:$A$500,0))="Возвращена",I864&gt;INDEX(Брони!$E$2:$E$500,MATCH(F864,Брони!$A$2:$A$500,0))),"Да",""),""),"")</f>
        <v/>
      </c>
      <c r="K864" s="10" t="n"/>
      <c r="L864" s="14" t="n"/>
      <c r="M864" s="15">
        <f>IF(OR(A864="",B864=""),"",IF(AND(ISNUMBER(F864),H864&lt;&gt;"Компания"),D864+L864,0))</f>
        <v/>
      </c>
      <c r="N864" s="21">
        <f>SUMPRODUCT(MAX((Брони!$B$2:$B$500=B864)*((Брони!$F$2:$F$500="Выдана")+(Брони!$F$2:$F$500="Возвращена"))*(Брони!$D$2:$D$500&lt;=A864)*Брони!$D$2:$D$500))</f>
        <v/>
      </c>
      <c r="O864" s="19">
        <f>SUMPRODUCT((Брони!$B$2:$B$500=B864)*(Брони!$D$2:$D$500=N864)*((((Брони!$F$2:$F$500="Выдана")*NOW())+((Брони!$F$2:$F$500="Возвращена")*Брони!$E$2:$E$500))&gt;=A864)*Брони!$A$2:$A$500)</f>
        <v/>
      </c>
      <c r="P864" s="19">
        <f>SUMPRODUCT((Брони!$B$2:$B$500=B864)*(Брони!$D$2:$D$500=N864)*(((Брони!$F$2:$F$500="Выдана")+(Брони!$F$2:$F$500="Возвращена"))))</f>
        <v/>
      </c>
      <c r="Q864" s="10" t="n"/>
    </row>
    <row r="865">
      <c r="A865" s="11" t="n"/>
      <c r="B865" s="10" t="n"/>
      <c r="C865" s="10" t="n"/>
      <c r="D865" s="14" t="n"/>
      <c r="E865" s="10" t="n"/>
      <c r="F865" s="20">
        <f>IF(OR(A865="",B865=""),"",IF(OR(NOT(ISNUMBER(A865)),ISERROR(N865+O865+P865)),"Проверьте даты",IF(AND(N865&gt;0,P865&gt;1),"Дубль",IF(AND(N865&gt;0,O865&gt;0),O865,"Вне аренды"))))</f>
        <v/>
      </c>
      <c r="G865" s="12">
        <f>IF(ISNUMBER(F865),IFERROR(INDEX(Брони!$C$2:$C$500,MATCH(F865,Брони!$A$2:$A$500,0)),""),"")</f>
        <v/>
      </c>
      <c r="H865" s="10" t="n"/>
      <c r="I865" s="18" t="n"/>
      <c r="J865" s="12">
        <f>IF(AND(ISNUMBER(F865),I865&lt;&gt;""),IFERROR(IF(AND(INDEX(Брони!$F$2:$F$500,MATCH(F865,Брони!$A$2:$A$500,0))="Возвращена",I865&gt;INDEX(Брони!$E$2:$E$500,MATCH(F865,Брони!$A$2:$A$500,0))),"Да",""),""),"")</f>
        <v/>
      </c>
      <c r="K865" s="10" t="n"/>
      <c r="L865" s="14" t="n"/>
      <c r="M865" s="15">
        <f>IF(OR(A865="",B865=""),"",IF(AND(ISNUMBER(F865),H865&lt;&gt;"Компания"),D865+L865,0))</f>
        <v/>
      </c>
      <c r="N865" s="21">
        <f>SUMPRODUCT(MAX((Брони!$B$2:$B$500=B865)*((Брони!$F$2:$F$500="Выдана")+(Брони!$F$2:$F$500="Возвращена"))*(Брони!$D$2:$D$500&lt;=A865)*Брони!$D$2:$D$500))</f>
        <v/>
      </c>
      <c r="O865" s="19">
        <f>SUMPRODUCT((Брони!$B$2:$B$500=B865)*(Брони!$D$2:$D$500=N865)*((((Брони!$F$2:$F$500="Выдана")*NOW())+((Брони!$F$2:$F$500="Возвращена")*Брони!$E$2:$E$500))&gt;=A865)*Брони!$A$2:$A$500)</f>
        <v/>
      </c>
      <c r="P865" s="19">
        <f>SUMPRODUCT((Брони!$B$2:$B$500=B865)*(Брони!$D$2:$D$500=N865)*(((Брони!$F$2:$F$500="Выдана")+(Брони!$F$2:$F$500="Возвращена"))))</f>
        <v/>
      </c>
      <c r="Q865" s="10" t="n"/>
    </row>
    <row r="866">
      <c r="A866" s="11" t="n"/>
      <c r="B866" s="10" t="n"/>
      <c r="C866" s="10" t="n"/>
      <c r="D866" s="14" t="n"/>
      <c r="E866" s="10" t="n"/>
      <c r="F866" s="20">
        <f>IF(OR(A866="",B866=""),"",IF(OR(NOT(ISNUMBER(A866)),ISERROR(N866+O866+P866)),"Проверьте даты",IF(AND(N866&gt;0,P866&gt;1),"Дубль",IF(AND(N866&gt;0,O866&gt;0),O866,"Вне аренды"))))</f>
        <v/>
      </c>
      <c r="G866" s="12">
        <f>IF(ISNUMBER(F866),IFERROR(INDEX(Брони!$C$2:$C$500,MATCH(F866,Брони!$A$2:$A$500,0)),""),"")</f>
        <v/>
      </c>
      <c r="H866" s="10" t="n"/>
      <c r="I866" s="18" t="n"/>
      <c r="J866" s="12">
        <f>IF(AND(ISNUMBER(F866),I866&lt;&gt;""),IFERROR(IF(AND(INDEX(Брони!$F$2:$F$500,MATCH(F866,Брони!$A$2:$A$500,0))="Возвращена",I866&gt;INDEX(Брони!$E$2:$E$500,MATCH(F866,Брони!$A$2:$A$500,0))),"Да",""),""),"")</f>
        <v/>
      </c>
      <c r="K866" s="10" t="n"/>
      <c r="L866" s="14" t="n"/>
      <c r="M866" s="15">
        <f>IF(OR(A866="",B866=""),"",IF(AND(ISNUMBER(F866),H866&lt;&gt;"Компания"),D866+L866,0))</f>
        <v/>
      </c>
      <c r="N866" s="21">
        <f>SUMPRODUCT(MAX((Брони!$B$2:$B$500=B866)*((Брони!$F$2:$F$500="Выдана")+(Брони!$F$2:$F$500="Возвращена"))*(Брони!$D$2:$D$500&lt;=A866)*Брони!$D$2:$D$500))</f>
        <v/>
      </c>
      <c r="O866" s="19">
        <f>SUMPRODUCT((Брони!$B$2:$B$500=B866)*(Брони!$D$2:$D$500=N866)*((((Брони!$F$2:$F$500="Выдана")*NOW())+((Брони!$F$2:$F$500="Возвращена")*Брони!$E$2:$E$500))&gt;=A866)*Брони!$A$2:$A$500)</f>
        <v/>
      </c>
      <c r="P866" s="19">
        <f>SUMPRODUCT((Брони!$B$2:$B$500=B866)*(Брони!$D$2:$D$500=N866)*(((Брони!$F$2:$F$500="Выдана")+(Брони!$F$2:$F$500="Возвращена"))))</f>
        <v/>
      </c>
      <c r="Q866" s="10" t="n"/>
    </row>
    <row r="867">
      <c r="A867" s="11" t="n"/>
      <c r="B867" s="10" t="n"/>
      <c r="C867" s="10" t="n"/>
      <c r="D867" s="14" t="n"/>
      <c r="E867" s="10" t="n"/>
      <c r="F867" s="20">
        <f>IF(OR(A867="",B867=""),"",IF(OR(NOT(ISNUMBER(A867)),ISERROR(N867+O867+P867)),"Проверьте даты",IF(AND(N867&gt;0,P867&gt;1),"Дубль",IF(AND(N867&gt;0,O867&gt;0),O867,"Вне аренды"))))</f>
        <v/>
      </c>
      <c r="G867" s="12">
        <f>IF(ISNUMBER(F867),IFERROR(INDEX(Брони!$C$2:$C$500,MATCH(F867,Брони!$A$2:$A$500,0)),""),"")</f>
        <v/>
      </c>
      <c r="H867" s="10" t="n"/>
      <c r="I867" s="18" t="n"/>
      <c r="J867" s="12">
        <f>IF(AND(ISNUMBER(F867),I867&lt;&gt;""),IFERROR(IF(AND(INDEX(Брони!$F$2:$F$500,MATCH(F867,Брони!$A$2:$A$500,0))="Возвращена",I867&gt;INDEX(Брони!$E$2:$E$500,MATCH(F867,Брони!$A$2:$A$500,0))),"Да",""),""),"")</f>
        <v/>
      </c>
      <c r="K867" s="10" t="n"/>
      <c r="L867" s="14" t="n"/>
      <c r="M867" s="15">
        <f>IF(OR(A867="",B867=""),"",IF(AND(ISNUMBER(F867),H867&lt;&gt;"Компания"),D867+L867,0))</f>
        <v/>
      </c>
      <c r="N867" s="21">
        <f>SUMPRODUCT(MAX((Брони!$B$2:$B$500=B867)*((Брони!$F$2:$F$500="Выдана")+(Брони!$F$2:$F$500="Возвращена"))*(Брони!$D$2:$D$500&lt;=A867)*Брони!$D$2:$D$500))</f>
        <v/>
      </c>
      <c r="O867" s="19">
        <f>SUMPRODUCT((Брони!$B$2:$B$500=B867)*(Брони!$D$2:$D$500=N867)*((((Брони!$F$2:$F$500="Выдана")*NOW())+((Брони!$F$2:$F$500="Возвращена")*Брони!$E$2:$E$500))&gt;=A867)*Брони!$A$2:$A$500)</f>
        <v/>
      </c>
      <c r="P867" s="19">
        <f>SUMPRODUCT((Брони!$B$2:$B$500=B867)*(Брони!$D$2:$D$500=N867)*(((Брони!$F$2:$F$500="Выдана")+(Брони!$F$2:$F$500="Возвращена"))))</f>
        <v/>
      </c>
      <c r="Q867" s="10" t="n"/>
    </row>
    <row r="868">
      <c r="A868" s="11" t="n"/>
      <c r="B868" s="10" t="n"/>
      <c r="C868" s="10" t="n"/>
      <c r="D868" s="14" t="n"/>
      <c r="E868" s="10" t="n"/>
      <c r="F868" s="20">
        <f>IF(OR(A868="",B868=""),"",IF(OR(NOT(ISNUMBER(A868)),ISERROR(N868+O868+P868)),"Проверьте даты",IF(AND(N868&gt;0,P868&gt;1),"Дубль",IF(AND(N868&gt;0,O868&gt;0),O868,"Вне аренды"))))</f>
        <v/>
      </c>
      <c r="G868" s="12">
        <f>IF(ISNUMBER(F868),IFERROR(INDEX(Брони!$C$2:$C$500,MATCH(F868,Брони!$A$2:$A$500,0)),""),"")</f>
        <v/>
      </c>
      <c r="H868" s="10" t="n"/>
      <c r="I868" s="18" t="n"/>
      <c r="J868" s="12">
        <f>IF(AND(ISNUMBER(F868),I868&lt;&gt;""),IFERROR(IF(AND(INDEX(Брони!$F$2:$F$500,MATCH(F868,Брони!$A$2:$A$500,0))="Возвращена",I868&gt;INDEX(Брони!$E$2:$E$500,MATCH(F868,Брони!$A$2:$A$500,0))),"Да",""),""),"")</f>
        <v/>
      </c>
      <c r="K868" s="10" t="n"/>
      <c r="L868" s="14" t="n"/>
      <c r="M868" s="15">
        <f>IF(OR(A868="",B868=""),"",IF(AND(ISNUMBER(F868),H868&lt;&gt;"Компания"),D868+L868,0))</f>
        <v/>
      </c>
      <c r="N868" s="21">
        <f>SUMPRODUCT(MAX((Брони!$B$2:$B$500=B868)*((Брони!$F$2:$F$500="Выдана")+(Брони!$F$2:$F$500="Возвращена"))*(Брони!$D$2:$D$500&lt;=A868)*Брони!$D$2:$D$500))</f>
        <v/>
      </c>
      <c r="O868" s="19">
        <f>SUMPRODUCT((Брони!$B$2:$B$500=B868)*(Брони!$D$2:$D$500=N868)*((((Брони!$F$2:$F$500="Выдана")*NOW())+((Брони!$F$2:$F$500="Возвращена")*Брони!$E$2:$E$500))&gt;=A868)*Брони!$A$2:$A$500)</f>
        <v/>
      </c>
      <c r="P868" s="19">
        <f>SUMPRODUCT((Брони!$B$2:$B$500=B868)*(Брони!$D$2:$D$500=N868)*(((Брони!$F$2:$F$500="Выдана")+(Брони!$F$2:$F$500="Возвращена"))))</f>
        <v/>
      </c>
      <c r="Q868" s="10" t="n"/>
    </row>
    <row r="869">
      <c r="A869" s="11" t="n"/>
      <c r="B869" s="10" t="n"/>
      <c r="C869" s="10" t="n"/>
      <c r="D869" s="14" t="n"/>
      <c r="E869" s="10" t="n"/>
      <c r="F869" s="20">
        <f>IF(OR(A869="",B869=""),"",IF(OR(NOT(ISNUMBER(A869)),ISERROR(N869+O869+P869)),"Проверьте даты",IF(AND(N869&gt;0,P869&gt;1),"Дубль",IF(AND(N869&gt;0,O869&gt;0),O869,"Вне аренды"))))</f>
        <v/>
      </c>
      <c r="G869" s="12">
        <f>IF(ISNUMBER(F869),IFERROR(INDEX(Брони!$C$2:$C$500,MATCH(F869,Брони!$A$2:$A$500,0)),""),"")</f>
        <v/>
      </c>
      <c r="H869" s="10" t="n"/>
      <c r="I869" s="18" t="n"/>
      <c r="J869" s="12">
        <f>IF(AND(ISNUMBER(F869),I869&lt;&gt;""),IFERROR(IF(AND(INDEX(Брони!$F$2:$F$500,MATCH(F869,Брони!$A$2:$A$500,0))="Возвращена",I869&gt;INDEX(Брони!$E$2:$E$500,MATCH(F869,Брони!$A$2:$A$500,0))),"Да",""),""),"")</f>
        <v/>
      </c>
      <c r="K869" s="10" t="n"/>
      <c r="L869" s="14" t="n"/>
      <c r="M869" s="15">
        <f>IF(OR(A869="",B869=""),"",IF(AND(ISNUMBER(F869),H869&lt;&gt;"Компания"),D869+L869,0))</f>
        <v/>
      </c>
      <c r="N869" s="21">
        <f>SUMPRODUCT(MAX((Брони!$B$2:$B$500=B869)*((Брони!$F$2:$F$500="Выдана")+(Брони!$F$2:$F$500="Возвращена"))*(Брони!$D$2:$D$500&lt;=A869)*Брони!$D$2:$D$500))</f>
        <v/>
      </c>
      <c r="O869" s="19">
        <f>SUMPRODUCT((Брони!$B$2:$B$500=B869)*(Брони!$D$2:$D$500=N869)*((((Брони!$F$2:$F$500="Выдана")*NOW())+((Брони!$F$2:$F$500="Возвращена")*Брони!$E$2:$E$500))&gt;=A869)*Брони!$A$2:$A$500)</f>
        <v/>
      </c>
      <c r="P869" s="19">
        <f>SUMPRODUCT((Брони!$B$2:$B$500=B869)*(Брони!$D$2:$D$500=N869)*(((Брони!$F$2:$F$500="Выдана")+(Брони!$F$2:$F$500="Возвращена"))))</f>
        <v/>
      </c>
      <c r="Q869" s="10" t="n"/>
    </row>
    <row r="870">
      <c r="A870" s="11" t="n"/>
      <c r="B870" s="10" t="n"/>
      <c r="C870" s="10" t="n"/>
      <c r="D870" s="14" t="n"/>
      <c r="E870" s="10" t="n"/>
      <c r="F870" s="20">
        <f>IF(OR(A870="",B870=""),"",IF(OR(NOT(ISNUMBER(A870)),ISERROR(N870+O870+P870)),"Проверьте даты",IF(AND(N870&gt;0,P870&gt;1),"Дубль",IF(AND(N870&gt;0,O870&gt;0),O870,"Вне аренды"))))</f>
        <v/>
      </c>
      <c r="G870" s="12">
        <f>IF(ISNUMBER(F870),IFERROR(INDEX(Брони!$C$2:$C$500,MATCH(F870,Брони!$A$2:$A$500,0)),""),"")</f>
        <v/>
      </c>
      <c r="H870" s="10" t="n"/>
      <c r="I870" s="18" t="n"/>
      <c r="J870" s="12">
        <f>IF(AND(ISNUMBER(F870),I870&lt;&gt;""),IFERROR(IF(AND(INDEX(Брони!$F$2:$F$500,MATCH(F870,Брони!$A$2:$A$500,0))="Возвращена",I870&gt;INDEX(Брони!$E$2:$E$500,MATCH(F870,Брони!$A$2:$A$500,0))),"Да",""),""),"")</f>
        <v/>
      </c>
      <c r="K870" s="10" t="n"/>
      <c r="L870" s="14" t="n"/>
      <c r="M870" s="15">
        <f>IF(OR(A870="",B870=""),"",IF(AND(ISNUMBER(F870),H870&lt;&gt;"Компания"),D870+L870,0))</f>
        <v/>
      </c>
      <c r="N870" s="21">
        <f>SUMPRODUCT(MAX((Брони!$B$2:$B$500=B870)*((Брони!$F$2:$F$500="Выдана")+(Брони!$F$2:$F$500="Возвращена"))*(Брони!$D$2:$D$500&lt;=A870)*Брони!$D$2:$D$500))</f>
        <v/>
      </c>
      <c r="O870" s="19">
        <f>SUMPRODUCT((Брони!$B$2:$B$500=B870)*(Брони!$D$2:$D$500=N870)*((((Брони!$F$2:$F$500="Выдана")*NOW())+((Брони!$F$2:$F$500="Возвращена")*Брони!$E$2:$E$500))&gt;=A870)*Брони!$A$2:$A$500)</f>
        <v/>
      </c>
      <c r="P870" s="19">
        <f>SUMPRODUCT((Брони!$B$2:$B$500=B870)*(Брони!$D$2:$D$500=N870)*(((Брони!$F$2:$F$500="Выдана")+(Брони!$F$2:$F$500="Возвращена"))))</f>
        <v/>
      </c>
      <c r="Q870" s="10" t="n"/>
    </row>
    <row r="871">
      <c r="A871" s="11" t="n"/>
      <c r="B871" s="10" t="n"/>
      <c r="C871" s="10" t="n"/>
      <c r="D871" s="14" t="n"/>
      <c r="E871" s="10" t="n"/>
      <c r="F871" s="20">
        <f>IF(OR(A871="",B871=""),"",IF(OR(NOT(ISNUMBER(A871)),ISERROR(N871+O871+P871)),"Проверьте даты",IF(AND(N871&gt;0,P871&gt;1),"Дубль",IF(AND(N871&gt;0,O871&gt;0),O871,"Вне аренды"))))</f>
        <v/>
      </c>
      <c r="G871" s="12">
        <f>IF(ISNUMBER(F871),IFERROR(INDEX(Брони!$C$2:$C$500,MATCH(F871,Брони!$A$2:$A$500,0)),""),"")</f>
        <v/>
      </c>
      <c r="H871" s="10" t="n"/>
      <c r="I871" s="18" t="n"/>
      <c r="J871" s="12">
        <f>IF(AND(ISNUMBER(F871),I871&lt;&gt;""),IFERROR(IF(AND(INDEX(Брони!$F$2:$F$500,MATCH(F871,Брони!$A$2:$A$500,0))="Возвращена",I871&gt;INDEX(Брони!$E$2:$E$500,MATCH(F871,Брони!$A$2:$A$500,0))),"Да",""),""),"")</f>
        <v/>
      </c>
      <c r="K871" s="10" t="n"/>
      <c r="L871" s="14" t="n"/>
      <c r="M871" s="15">
        <f>IF(OR(A871="",B871=""),"",IF(AND(ISNUMBER(F871),H871&lt;&gt;"Компания"),D871+L871,0))</f>
        <v/>
      </c>
      <c r="N871" s="21">
        <f>SUMPRODUCT(MAX((Брони!$B$2:$B$500=B871)*((Брони!$F$2:$F$500="Выдана")+(Брони!$F$2:$F$500="Возвращена"))*(Брони!$D$2:$D$500&lt;=A871)*Брони!$D$2:$D$500))</f>
        <v/>
      </c>
      <c r="O871" s="19">
        <f>SUMPRODUCT((Брони!$B$2:$B$500=B871)*(Брони!$D$2:$D$500=N871)*((((Брони!$F$2:$F$500="Выдана")*NOW())+((Брони!$F$2:$F$500="Возвращена")*Брони!$E$2:$E$500))&gt;=A871)*Брони!$A$2:$A$500)</f>
        <v/>
      </c>
      <c r="P871" s="19">
        <f>SUMPRODUCT((Брони!$B$2:$B$500=B871)*(Брони!$D$2:$D$500=N871)*(((Брони!$F$2:$F$500="Выдана")+(Брони!$F$2:$F$500="Возвращена"))))</f>
        <v/>
      </c>
      <c r="Q871" s="10" t="n"/>
    </row>
    <row r="872">
      <c r="A872" s="11" t="n"/>
      <c r="B872" s="10" t="n"/>
      <c r="C872" s="10" t="n"/>
      <c r="D872" s="14" t="n"/>
      <c r="E872" s="10" t="n"/>
      <c r="F872" s="20">
        <f>IF(OR(A872="",B872=""),"",IF(OR(NOT(ISNUMBER(A872)),ISERROR(N872+O872+P872)),"Проверьте даты",IF(AND(N872&gt;0,P872&gt;1),"Дубль",IF(AND(N872&gt;0,O872&gt;0),O872,"Вне аренды"))))</f>
        <v/>
      </c>
      <c r="G872" s="12">
        <f>IF(ISNUMBER(F872),IFERROR(INDEX(Брони!$C$2:$C$500,MATCH(F872,Брони!$A$2:$A$500,0)),""),"")</f>
        <v/>
      </c>
      <c r="H872" s="10" t="n"/>
      <c r="I872" s="18" t="n"/>
      <c r="J872" s="12">
        <f>IF(AND(ISNUMBER(F872),I872&lt;&gt;""),IFERROR(IF(AND(INDEX(Брони!$F$2:$F$500,MATCH(F872,Брони!$A$2:$A$500,0))="Возвращена",I872&gt;INDEX(Брони!$E$2:$E$500,MATCH(F872,Брони!$A$2:$A$500,0))),"Да",""),""),"")</f>
        <v/>
      </c>
      <c r="K872" s="10" t="n"/>
      <c r="L872" s="14" t="n"/>
      <c r="M872" s="15">
        <f>IF(OR(A872="",B872=""),"",IF(AND(ISNUMBER(F872),H872&lt;&gt;"Компания"),D872+L872,0))</f>
        <v/>
      </c>
      <c r="N872" s="21">
        <f>SUMPRODUCT(MAX((Брони!$B$2:$B$500=B872)*((Брони!$F$2:$F$500="Выдана")+(Брони!$F$2:$F$500="Возвращена"))*(Брони!$D$2:$D$500&lt;=A872)*Брони!$D$2:$D$500))</f>
        <v/>
      </c>
      <c r="O872" s="19">
        <f>SUMPRODUCT((Брони!$B$2:$B$500=B872)*(Брони!$D$2:$D$500=N872)*((((Брони!$F$2:$F$500="Выдана")*NOW())+((Брони!$F$2:$F$500="Возвращена")*Брони!$E$2:$E$500))&gt;=A872)*Брони!$A$2:$A$500)</f>
        <v/>
      </c>
      <c r="P872" s="19">
        <f>SUMPRODUCT((Брони!$B$2:$B$500=B872)*(Брони!$D$2:$D$500=N872)*(((Брони!$F$2:$F$500="Выдана")+(Брони!$F$2:$F$500="Возвращена"))))</f>
        <v/>
      </c>
      <c r="Q872" s="10" t="n"/>
    </row>
    <row r="873">
      <c r="A873" s="11" t="n"/>
      <c r="B873" s="10" t="n"/>
      <c r="C873" s="10" t="n"/>
      <c r="D873" s="14" t="n"/>
      <c r="E873" s="10" t="n"/>
      <c r="F873" s="20">
        <f>IF(OR(A873="",B873=""),"",IF(OR(NOT(ISNUMBER(A873)),ISERROR(N873+O873+P873)),"Проверьте даты",IF(AND(N873&gt;0,P873&gt;1),"Дубль",IF(AND(N873&gt;0,O873&gt;0),O873,"Вне аренды"))))</f>
        <v/>
      </c>
      <c r="G873" s="12">
        <f>IF(ISNUMBER(F873),IFERROR(INDEX(Брони!$C$2:$C$500,MATCH(F873,Брони!$A$2:$A$500,0)),""),"")</f>
        <v/>
      </c>
      <c r="H873" s="10" t="n"/>
      <c r="I873" s="18" t="n"/>
      <c r="J873" s="12">
        <f>IF(AND(ISNUMBER(F873),I873&lt;&gt;""),IFERROR(IF(AND(INDEX(Брони!$F$2:$F$500,MATCH(F873,Брони!$A$2:$A$500,0))="Возвращена",I873&gt;INDEX(Брони!$E$2:$E$500,MATCH(F873,Брони!$A$2:$A$500,0))),"Да",""),""),"")</f>
        <v/>
      </c>
      <c r="K873" s="10" t="n"/>
      <c r="L873" s="14" t="n"/>
      <c r="M873" s="15">
        <f>IF(OR(A873="",B873=""),"",IF(AND(ISNUMBER(F873),H873&lt;&gt;"Компания"),D873+L873,0))</f>
        <v/>
      </c>
      <c r="N873" s="21">
        <f>SUMPRODUCT(MAX((Брони!$B$2:$B$500=B873)*((Брони!$F$2:$F$500="Выдана")+(Брони!$F$2:$F$500="Возвращена"))*(Брони!$D$2:$D$500&lt;=A873)*Брони!$D$2:$D$500))</f>
        <v/>
      </c>
      <c r="O873" s="19">
        <f>SUMPRODUCT((Брони!$B$2:$B$500=B873)*(Брони!$D$2:$D$500=N873)*((((Брони!$F$2:$F$500="Выдана")*NOW())+((Брони!$F$2:$F$500="Возвращена")*Брони!$E$2:$E$500))&gt;=A873)*Брони!$A$2:$A$500)</f>
        <v/>
      </c>
      <c r="P873" s="19">
        <f>SUMPRODUCT((Брони!$B$2:$B$500=B873)*(Брони!$D$2:$D$500=N873)*(((Брони!$F$2:$F$500="Выдана")+(Брони!$F$2:$F$500="Возвращена"))))</f>
        <v/>
      </c>
      <c r="Q873" s="10" t="n"/>
    </row>
    <row r="874">
      <c r="A874" s="11" t="n"/>
      <c r="B874" s="10" t="n"/>
      <c r="C874" s="10" t="n"/>
      <c r="D874" s="14" t="n"/>
      <c r="E874" s="10" t="n"/>
      <c r="F874" s="20">
        <f>IF(OR(A874="",B874=""),"",IF(OR(NOT(ISNUMBER(A874)),ISERROR(N874+O874+P874)),"Проверьте даты",IF(AND(N874&gt;0,P874&gt;1),"Дубль",IF(AND(N874&gt;0,O874&gt;0),O874,"Вне аренды"))))</f>
        <v/>
      </c>
      <c r="G874" s="12">
        <f>IF(ISNUMBER(F874),IFERROR(INDEX(Брони!$C$2:$C$500,MATCH(F874,Брони!$A$2:$A$500,0)),""),"")</f>
        <v/>
      </c>
      <c r="H874" s="10" t="n"/>
      <c r="I874" s="18" t="n"/>
      <c r="J874" s="12">
        <f>IF(AND(ISNUMBER(F874),I874&lt;&gt;""),IFERROR(IF(AND(INDEX(Брони!$F$2:$F$500,MATCH(F874,Брони!$A$2:$A$500,0))="Возвращена",I874&gt;INDEX(Брони!$E$2:$E$500,MATCH(F874,Брони!$A$2:$A$500,0))),"Да",""),""),"")</f>
        <v/>
      </c>
      <c r="K874" s="10" t="n"/>
      <c r="L874" s="14" t="n"/>
      <c r="M874" s="15">
        <f>IF(OR(A874="",B874=""),"",IF(AND(ISNUMBER(F874),H874&lt;&gt;"Компания"),D874+L874,0))</f>
        <v/>
      </c>
      <c r="N874" s="21">
        <f>SUMPRODUCT(MAX((Брони!$B$2:$B$500=B874)*((Брони!$F$2:$F$500="Выдана")+(Брони!$F$2:$F$500="Возвращена"))*(Брони!$D$2:$D$500&lt;=A874)*Брони!$D$2:$D$500))</f>
        <v/>
      </c>
      <c r="O874" s="19">
        <f>SUMPRODUCT((Брони!$B$2:$B$500=B874)*(Брони!$D$2:$D$500=N874)*((((Брони!$F$2:$F$500="Выдана")*NOW())+((Брони!$F$2:$F$500="Возвращена")*Брони!$E$2:$E$500))&gt;=A874)*Брони!$A$2:$A$500)</f>
        <v/>
      </c>
      <c r="P874" s="19">
        <f>SUMPRODUCT((Брони!$B$2:$B$500=B874)*(Брони!$D$2:$D$500=N874)*(((Брони!$F$2:$F$500="Выдана")+(Брони!$F$2:$F$500="Возвращена"))))</f>
        <v/>
      </c>
      <c r="Q874" s="10" t="n"/>
    </row>
    <row r="875">
      <c r="A875" s="11" t="n"/>
      <c r="B875" s="10" t="n"/>
      <c r="C875" s="10" t="n"/>
      <c r="D875" s="14" t="n"/>
      <c r="E875" s="10" t="n"/>
      <c r="F875" s="20">
        <f>IF(OR(A875="",B875=""),"",IF(OR(NOT(ISNUMBER(A875)),ISERROR(N875+O875+P875)),"Проверьте даты",IF(AND(N875&gt;0,P875&gt;1),"Дубль",IF(AND(N875&gt;0,O875&gt;0),O875,"Вне аренды"))))</f>
        <v/>
      </c>
      <c r="G875" s="12">
        <f>IF(ISNUMBER(F875),IFERROR(INDEX(Брони!$C$2:$C$500,MATCH(F875,Брони!$A$2:$A$500,0)),""),"")</f>
        <v/>
      </c>
      <c r="H875" s="10" t="n"/>
      <c r="I875" s="18" t="n"/>
      <c r="J875" s="12">
        <f>IF(AND(ISNUMBER(F875),I875&lt;&gt;""),IFERROR(IF(AND(INDEX(Брони!$F$2:$F$500,MATCH(F875,Брони!$A$2:$A$500,0))="Возвращена",I875&gt;INDEX(Брони!$E$2:$E$500,MATCH(F875,Брони!$A$2:$A$500,0))),"Да",""),""),"")</f>
        <v/>
      </c>
      <c r="K875" s="10" t="n"/>
      <c r="L875" s="14" t="n"/>
      <c r="M875" s="15">
        <f>IF(OR(A875="",B875=""),"",IF(AND(ISNUMBER(F875),H875&lt;&gt;"Компания"),D875+L875,0))</f>
        <v/>
      </c>
      <c r="N875" s="21">
        <f>SUMPRODUCT(MAX((Брони!$B$2:$B$500=B875)*((Брони!$F$2:$F$500="Выдана")+(Брони!$F$2:$F$500="Возвращена"))*(Брони!$D$2:$D$500&lt;=A875)*Брони!$D$2:$D$500))</f>
        <v/>
      </c>
      <c r="O875" s="19">
        <f>SUMPRODUCT((Брони!$B$2:$B$500=B875)*(Брони!$D$2:$D$500=N875)*((((Брони!$F$2:$F$500="Выдана")*NOW())+((Брони!$F$2:$F$500="Возвращена")*Брони!$E$2:$E$500))&gt;=A875)*Брони!$A$2:$A$500)</f>
        <v/>
      </c>
      <c r="P875" s="19">
        <f>SUMPRODUCT((Брони!$B$2:$B$500=B875)*(Брони!$D$2:$D$500=N875)*(((Брони!$F$2:$F$500="Выдана")+(Брони!$F$2:$F$500="Возвращена"))))</f>
        <v/>
      </c>
      <c r="Q875" s="10" t="n"/>
    </row>
    <row r="876">
      <c r="A876" s="11" t="n"/>
      <c r="B876" s="10" t="n"/>
      <c r="C876" s="10" t="n"/>
      <c r="D876" s="14" t="n"/>
      <c r="E876" s="10" t="n"/>
      <c r="F876" s="20">
        <f>IF(OR(A876="",B876=""),"",IF(OR(NOT(ISNUMBER(A876)),ISERROR(N876+O876+P876)),"Проверьте даты",IF(AND(N876&gt;0,P876&gt;1),"Дубль",IF(AND(N876&gt;0,O876&gt;0),O876,"Вне аренды"))))</f>
        <v/>
      </c>
      <c r="G876" s="12">
        <f>IF(ISNUMBER(F876),IFERROR(INDEX(Брони!$C$2:$C$500,MATCH(F876,Брони!$A$2:$A$500,0)),""),"")</f>
        <v/>
      </c>
      <c r="H876" s="10" t="n"/>
      <c r="I876" s="18" t="n"/>
      <c r="J876" s="12">
        <f>IF(AND(ISNUMBER(F876),I876&lt;&gt;""),IFERROR(IF(AND(INDEX(Брони!$F$2:$F$500,MATCH(F876,Брони!$A$2:$A$500,0))="Возвращена",I876&gt;INDEX(Брони!$E$2:$E$500,MATCH(F876,Брони!$A$2:$A$500,0))),"Да",""),""),"")</f>
        <v/>
      </c>
      <c r="K876" s="10" t="n"/>
      <c r="L876" s="14" t="n"/>
      <c r="M876" s="15">
        <f>IF(OR(A876="",B876=""),"",IF(AND(ISNUMBER(F876),H876&lt;&gt;"Компания"),D876+L876,0))</f>
        <v/>
      </c>
      <c r="N876" s="21">
        <f>SUMPRODUCT(MAX((Брони!$B$2:$B$500=B876)*((Брони!$F$2:$F$500="Выдана")+(Брони!$F$2:$F$500="Возвращена"))*(Брони!$D$2:$D$500&lt;=A876)*Брони!$D$2:$D$500))</f>
        <v/>
      </c>
      <c r="O876" s="19">
        <f>SUMPRODUCT((Брони!$B$2:$B$500=B876)*(Брони!$D$2:$D$500=N876)*((((Брони!$F$2:$F$500="Выдана")*NOW())+((Брони!$F$2:$F$500="Возвращена")*Брони!$E$2:$E$500))&gt;=A876)*Брони!$A$2:$A$500)</f>
        <v/>
      </c>
      <c r="P876" s="19">
        <f>SUMPRODUCT((Брони!$B$2:$B$500=B876)*(Брони!$D$2:$D$500=N876)*(((Брони!$F$2:$F$500="Выдана")+(Брони!$F$2:$F$500="Возвращена"))))</f>
        <v/>
      </c>
      <c r="Q876" s="10" t="n"/>
    </row>
    <row r="877">
      <c r="A877" s="11" t="n"/>
      <c r="B877" s="10" t="n"/>
      <c r="C877" s="10" t="n"/>
      <c r="D877" s="14" t="n"/>
      <c r="E877" s="10" t="n"/>
      <c r="F877" s="20">
        <f>IF(OR(A877="",B877=""),"",IF(OR(NOT(ISNUMBER(A877)),ISERROR(N877+O877+P877)),"Проверьте даты",IF(AND(N877&gt;0,P877&gt;1),"Дубль",IF(AND(N877&gt;0,O877&gt;0),O877,"Вне аренды"))))</f>
        <v/>
      </c>
      <c r="G877" s="12">
        <f>IF(ISNUMBER(F877),IFERROR(INDEX(Брони!$C$2:$C$500,MATCH(F877,Брони!$A$2:$A$500,0)),""),"")</f>
        <v/>
      </c>
      <c r="H877" s="10" t="n"/>
      <c r="I877" s="18" t="n"/>
      <c r="J877" s="12">
        <f>IF(AND(ISNUMBER(F877),I877&lt;&gt;""),IFERROR(IF(AND(INDEX(Брони!$F$2:$F$500,MATCH(F877,Брони!$A$2:$A$500,0))="Возвращена",I877&gt;INDEX(Брони!$E$2:$E$500,MATCH(F877,Брони!$A$2:$A$500,0))),"Да",""),""),"")</f>
        <v/>
      </c>
      <c r="K877" s="10" t="n"/>
      <c r="L877" s="14" t="n"/>
      <c r="M877" s="15">
        <f>IF(OR(A877="",B877=""),"",IF(AND(ISNUMBER(F877),H877&lt;&gt;"Компания"),D877+L877,0))</f>
        <v/>
      </c>
      <c r="N877" s="21">
        <f>SUMPRODUCT(MAX((Брони!$B$2:$B$500=B877)*((Брони!$F$2:$F$500="Выдана")+(Брони!$F$2:$F$500="Возвращена"))*(Брони!$D$2:$D$500&lt;=A877)*Брони!$D$2:$D$500))</f>
        <v/>
      </c>
      <c r="O877" s="19">
        <f>SUMPRODUCT((Брони!$B$2:$B$500=B877)*(Брони!$D$2:$D$500=N877)*((((Брони!$F$2:$F$500="Выдана")*NOW())+((Брони!$F$2:$F$500="Возвращена")*Брони!$E$2:$E$500))&gt;=A877)*Брони!$A$2:$A$500)</f>
        <v/>
      </c>
      <c r="P877" s="19">
        <f>SUMPRODUCT((Брони!$B$2:$B$500=B877)*(Брони!$D$2:$D$500=N877)*(((Брони!$F$2:$F$500="Выдана")+(Брони!$F$2:$F$500="Возвращена"))))</f>
        <v/>
      </c>
      <c r="Q877" s="10" t="n"/>
    </row>
    <row r="878">
      <c r="A878" s="11" t="n"/>
      <c r="B878" s="10" t="n"/>
      <c r="C878" s="10" t="n"/>
      <c r="D878" s="14" t="n"/>
      <c r="E878" s="10" t="n"/>
      <c r="F878" s="20">
        <f>IF(OR(A878="",B878=""),"",IF(OR(NOT(ISNUMBER(A878)),ISERROR(N878+O878+P878)),"Проверьте даты",IF(AND(N878&gt;0,P878&gt;1),"Дубль",IF(AND(N878&gt;0,O878&gt;0),O878,"Вне аренды"))))</f>
        <v/>
      </c>
      <c r="G878" s="12">
        <f>IF(ISNUMBER(F878),IFERROR(INDEX(Брони!$C$2:$C$500,MATCH(F878,Брони!$A$2:$A$500,0)),""),"")</f>
        <v/>
      </c>
      <c r="H878" s="10" t="n"/>
      <c r="I878" s="18" t="n"/>
      <c r="J878" s="12">
        <f>IF(AND(ISNUMBER(F878),I878&lt;&gt;""),IFERROR(IF(AND(INDEX(Брони!$F$2:$F$500,MATCH(F878,Брони!$A$2:$A$500,0))="Возвращена",I878&gt;INDEX(Брони!$E$2:$E$500,MATCH(F878,Брони!$A$2:$A$500,0))),"Да",""),""),"")</f>
        <v/>
      </c>
      <c r="K878" s="10" t="n"/>
      <c r="L878" s="14" t="n"/>
      <c r="M878" s="15">
        <f>IF(OR(A878="",B878=""),"",IF(AND(ISNUMBER(F878),H878&lt;&gt;"Компания"),D878+L878,0))</f>
        <v/>
      </c>
      <c r="N878" s="21">
        <f>SUMPRODUCT(MAX((Брони!$B$2:$B$500=B878)*((Брони!$F$2:$F$500="Выдана")+(Брони!$F$2:$F$500="Возвращена"))*(Брони!$D$2:$D$500&lt;=A878)*Брони!$D$2:$D$500))</f>
        <v/>
      </c>
      <c r="O878" s="19">
        <f>SUMPRODUCT((Брони!$B$2:$B$500=B878)*(Брони!$D$2:$D$500=N878)*((((Брони!$F$2:$F$500="Выдана")*NOW())+((Брони!$F$2:$F$500="Возвращена")*Брони!$E$2:$E$500))&gt;=A878)*Брони!$A$2:$A$500)</f>
        <v/>
      </c>
      <c r="P878" s="19">
        <f>SUMPRODUCT((Брони!$B$2:$B$500=B878)*(Брони!$D$2:$D$500=N878)*(((Брони!$F$2:$F$500="Выдана")+(Брони!$F$2:$F$500="Возвращена"))))</f>
        <v/>
      </c>
      <c r="Q878" s="10" t="n"/>
    </row>
    <row r="879">
      <c r="A879" s="11" t="n"/>
      <c r="B879" s="10" t="n"/>
      <c r="C879" s="10" t="n"/>
      <c r="D879" s="14" t="n"/>
      <c r="E879" s="10" t="n"/>
      <c r="F879" s="20">
        <f>IF(OR(A879="",B879=""),"",IF(OR(NOT(ISNUMBER(A879)),ISERROR(N879+O879+P879)),"Проверьте даты",IF(AND(N879&gt;0,P879&gt;1),"Дубль",IF(AND(N879&gt;0,O879&gt;0),O879,"Вне аренды"))))</f>
        <v/>
      </c>
      <c r="G879" s="12">
        <f>IF(ISNUMBER(F879),IFERROR(INDEX(Брони!$C$2:$C$500,MATCH(F879,Брони!$A$2:$A$500,0)),""),"")</f>
        <v/>
      </c>
      <c r="H879" s="10" t="n"/>
      <c r="I879" s="18" t="n"/>
      <c r="J879" s="12">
        <f>IF(AND(ISNUMBER(F879),I879&lt;&gt;""),IFERROR(IF(AND(INDEX(Брони!$F$2:$F$500,MATCH(F879,Брони!$A$2:$A$500,0))="Возвращена",I879&gt;INDEX(Брони!$E$2:$E$500,MATCH(F879,Брони!$A$2:$A$500,0))),"Да",""),""),"")</f>
        <v/>
      </c>
      <c r="K879" s="10" t="n"/>
      <c r="L879" s="14" t="n"/>
      <c r="M879" s="15">
        <f>IF(OR(A879="",B879=""),"",IF(AND(ISNUMBER(F879),H879&lt;&gt;"Компания"),D879+L879,0))</f>
        <v/>
      </c>
      <c r="N879" s="21">
        <f>SUMPRODUCT(MAX((Брони!$B$2:$B$500=B879)*((Брони!$F$2:$F$500="Выдана")+(Брони!$F$2:$F$500="Возвращена"))*(Брони!$D$2:$D$500&lt;=A879)*Брони!$D$2:$D$500))</f>
        <v/>
      </c>
      <c r="O879" s="19">
        <f>SUMPRODUCT((Брони!$B$2:$B$500=B879)*(Брони!$D$2:$D$500=N879)*((((Брони!$F$2:$F$500="Выдана")*NOW())+((Брони!$F$2:$F$500="Возвращена")*Брони!$E$2:$E$500))&gt;=A879)*Брони!$A$2:$A$500)</f>
        <v/>
      </c>
      <c r="P879" s="19">
        <f>SUMPRODUCT((Брони!$B$2:$B$500=B879)*(Брони!$D$2:$D$500=N879)*(((Брони!$F$2:$F$500="Выдана")+(Брони!$F$2:$F$500="Возвращена"))))</f>
        <v/>
      </c>
      <c r="Q879" s="10" t="n"/>
    </row>
    <row r="880">
      <c r="A880" s="11" t="n"/>
      <c r="B880" s="10" t="n"/>
      <c r="C880" s="10" t="n"/>
      <c r="D880" s="14" t="n"/>
      <c r="E880" s="10" t="n"/>
      <c r="F880" s="20">
        <f>IF(OR(A880="",B880=""),"",IF(OR(NOT(ISNUMBER(A880)),ISERROR(N880+O880+P880)),"Проверьте даты",IF(AND(N880&gt;0,P880&gt;1),"Дубль",IF(AND(N880&gt;0,O880&gt;0),O880,"Вне аренды"))))</f>
        <v/>
      </c>
      <c r="G880" s="12">
        <f>IF(ISNUMBER(F880),IFERROR(INDEX(Брони!$C$2:$C$500,MATCH(F880,Брони!$A$2:$A$500,0)),""),"")</f>
        <v/>
      </c>
      <c r="H880" s="10" t="n"/>
      <c r="I880" s="18" t="n"/>
      <c r="J880" s="12">
        <f>IF(AND(ISNUMBER(F880),I880&lt;&gt;""),IFERROR(IF(AND(INDEX(Брони!$F$2:$F$500,MATCH(F880,Брони!$A$2:$A$500,0))="Возвращена",I880&gt;INDEX(Брони!$E$2:$E$500,MATCH(F880,Брони!$A$2:$A$500,0))),"Да",""),""),"")</f>
        <v/>
      </c>
      <c r="K880" s="10" t="n"/>
      <c r="L880" s="14" t="n"/>
      <c r="M880" s="15">
        <f>IF(OR(A880="",B880=""),"",IF(AND(ISNUMBER(F880),H880&lt;&gt;"Компания"),D880+L880,0))</f>
        <v/>
      </c>
      <c r="N880" s="21">
        <f>SUMPRODUCT(MAX((Брони!$B$2:$B$500=B880)*((Брони!$F$2:$F$500="Выдана")+(Брони!$F$2:$F$500="Возвращена"))*(Брони!$D$2:$D$500&lt;=A880)*Брони!$D$2:$D$500))</f>
        <v/>
      </c>
      <c r="O880" s="19">
        <f>SUMPRODUCT((Брони!$B$2:$B$500=B880)*(Брони!$D$2:$D$500=N880)*((((Брони!$F$2:$F$500="Выдана")*NOW())+((Брони!$F$2:$F$500="Возвращена")*Брони!$E$2:$E$500))&gt;=A880)*Брони!$A$2:$A$500)</f>
        <v/>
      </c>
      <c r="P880" s="19">
        <f>SUMPRODUCT((Брони!$B$2:$B$500=B880)*(Брони!$D$2:$D$500=N880)*(((Брони!$F$2:$F$500="Выдана")+(Брони!$F$2:$F$500="Возвращена"))))</f>
        <v/>
      </c>
      <c r="Q880" s="10" t="n"/>
    </row>
    <row r="881">
      <c r="A881" s="11" t="n"/>
      <c r="B881" s="10" t="n"/>
      <c r="C881" s="10" t="n"/>
      <c r="D881" s="14" t="n"/>
      <c r="E881" s="10" t="n"/>
      <c r="F881" s="20">
        <f>IF(OR(A881="",B881=""),"",IF(OR(NOT(ISNUMBER(A881)),ISERROR(N881+O881+P881)),"Проверьте даты",IF(AND(N881&gt;0,P881&gt;1),"Дубль",IF(AND(N881&gt;0,O881&gt;0),O881,"Вне аренды"))))</f>
        <v/>
      </c>
      <c r="G881" s="12">
        <f>IF(ISNUMBER(F881),IFERROR(INDEX(Брони!$C$2:$C$500,MATCH(F881,Брони!$A$2:$A$500,0)),""),"")</f>
        <v/>
      </c>
      <c r="H881" s="10" t="n"/>
      <c r="I881" s="18" t="n"/>
      <c r="J881" s="12">
        <f>IF(AND(ISNUMBER(F881),I881&lt;&gt;""),IFERROR(IF(AND(INDEX(Брони!$F$2:$F$500,MATCH(F881,Брони!$A$2:$A$500,0))="Возвращена",I881&gt;INDEX(Брони!$E$2:$E$500,MATCH(F881,Брони!$A$2:$A$500,0))),"Да",""),""),"")</f>
        <v/>
      </c>
      <c r="K881" s="10" t="n"/>
      <c r="L881" s="14" t="n"/>
      <c r="M881" s="15">
        <f>IF(OR(A881="",B881=""),"",IF(AND(ISNUMBER(F881),H881&lt;&gt;"Компания"),D881+L881,0))</f>
        <v/>
      </c>
      <c r="N881" s="21">
        <f>SUMPRODUCT(MAX((Брони!$B$2:$B$500=B881)*((Брони!$F$2:$F$500="Выдана")+(Брони!$F$2:$F$500="Возвращена"))*(Брони!$D$2:$D$500&lt;=A881)*Брони!$D$2:$D$500))</f>
        <v/>
      </c>
      <c r="O881" s="19">
        <f>SUMPRODUCT((Брони!$B$2:$B$500=B881)*(Брони!$D$2:$D$500=N881)*((((Брони!$F$2:$F$500="Выдана")*NOW())+((Брони!$F$2:$F$500="Возвращена")*Брони!$E$2:$E$500))&gt;=A881)*Брони!$A$2:$A$500)</f>
        <v/>
      </c>
      <c r="P881" s="19">
        <f>SUMPRODUCT((Брони!$B$2:$B$500=B881)*(Брони!$D$2:$D$500=N881)*(((Брони!$F$2:$F$500="Выдана")+(Брони!$F$2:$F$500="Возвращена"))))</f>
        <v/>
      </c>
      <c r="Q881" s="10" t="n"/>
    </row>
    <row r="882">
      <c r="A882" s="11" t="n"/>
      <c r="B882" s="10" t="n"/>
      <c r="C882" s="10" t="n"/>
      <c r="D882" s="14" t="n"/>
      <c r="E882" s="10" t="n"/>
      <c r="F882" s="20">
        <f>IF(OR(A882="",B882=""),"",IF(OR(NOT(ISNUMBER(A882)),ISERROR(N882+O882+P882)),"Проверьте даты",IF(AND(N882&gt;0,P882&gt;1),"Дубль",IF(AND(N882&gt;0,O882&gt;0),O882,"Вне аренды"))))</f>
        <v/>
      </c>
      <c r="G882" s="12">
        <f>IF(ISNUMBER(F882),IFERROR(INDEX(Брони!$C$2:$C$500,MATCH(F882,Брони!$A$2:$A$500,0)),""),"")</f>
        <v/>
      </c>
      <c r="H882" s="10" t="n"/>
      <c r="I882" s="18" t="n"/>
      <c r="J882" s="12">
        <f>IF(AND(ISNUMBER(F882),I882&lt;&gt;""),IFERROR(IF(AND(INDEX(Брони!$F$2:$F$500,MATCH(F882,Брони!$A$2:$A$500,0))="Возвращена",I882&gt;INDEX(Брони!$E$2:$E$500,MATCH(F882,Брони!$A$2:$A$500,0))),"Да",""),""),"")</f>
        <v/>
      </c>
      <c r="K882" s="10" t="n"/>
      <c r="L882" s="14" t="n"/>
      <c r="M882" s="15">
        <f>IF(OR(A882="",B882=""),"",IF(AND(ISNUMBER(F882),H882&lt;&gt;"Компания"),D882+L882,0))</f>
        <v/>
      </c>
      <c r="N882" s="21">
        <f>SUMPRODUCT(MAX((Брони!$B$2:$B$500=B882)*((Брони!$F$2:$F$500="Выдана")+(Брони!$F$2:$F$500="Возвращена"))*(Брони!$D$2:$D$500&lt;=A882)*Брони!$D$2:$D$500))</f>
        <v/>
      </c>
      <c r="O882" s="19">
        <f>SUMPRODUCT((Брони!$B$2:$B$500=B882)*(Брони!$D$2:$D$500=N882)*((((Брони!$F$2:$F$500="Выдана")*NOW())+((Брони!$F$2:$F$500="Возвращена")*Брони!$E$2:$E$500))&gt;=A882)*Брони!$A$2:$A$500)</f>
        <v/>
      </c>
      <c r="P882" s="19">
        <f>SUMPRODUCT((Брони!$B$2:$B$500=B882)*(Брони!$D$2:$D$500=N882)*(((Брони!$F$2:$F$500="Выдана")+(Брони!$F$2:$F$500="Возвращена"))))</f>
        <v/>
      </c>
      <c r="Q882" s="10" t="n"/>
    </row>
    <row r="883">
      <c r="A883" s="11" t="n"/>
      <c r="B883" s="10" t="n"/>
      <c r="C883" s="10" t="n"/>
      <c r="D883" s="14" t="n"/>
      <c r="E883" s="10" t="n"/>
      <c r="F883" s="20">
        <f>IF(OR(A883="",B883=""),"",IF(OR(NOT(ISNUMBER(A883)),ISERROR(N883+O883+P883)),"Проверьте даты",IF(AND(N883&gt;0,P883&gt;1),"Дубль",IF(AND(N883&gt;0,O883&gt;0),O883,"Вне аренды"))))</f>
        <v/>
      </c>
      <c r="G883" s="12">
        <f>IF(ISNUMBER(F883),IFERROR(INDEX(Брони!$C$2:$C$500,MATCH(F883,Брони!$A$2:$A$500,0)),""),"")</f>
        <v/>
      </c>
      <c r="H883" s="10" t="n"/>
      <c r="I883" s="18" t="n"/>
      <c r="J883" s="12">
        <f>IF(AND(ISNUMBER(F883),I883&lt;&gt;""),IFERROR(IF(AND(INDEX(Брони!$F$2:$F$500,MATCH(F883,Брони!$A$2:$A$500,0))="Возвращена",I883&gt;INDEX(Брони!$E$2:$E$500,MATCH(F883,Брони!$A$2:$A$500,0))),"Да",""),""),"")</f>
        <v/>
      </c>
      <c r="K883" s="10" t="n"/>
      <c r="L883" s="14" t="n"/>
      <c r="M883" s="15">
        <f>IF(OR(A883="",B883=""),"",IF(AND(ISNUMBER(F883),H883&lt;&gt;"Компания"),D883+L883,0))</f>
        <v/>
      </c>
      <c r="N883" s="21">
        <f>SUMPRODUCT(MAX((Брони!$B$2:$B$500=B883)*((Брони!$F$2:$F$500="Выдана")+(Брони!$F$2:$F$500="Возвращена"))*(Брони!$D$2:$D$500&lt;=A883)*Брони!$D$2:$D$500))</f>
        <v/>
      </c>
      <c r="O883" s="19">
        <f>SUMPRODUCT((Брони!$B$2:$B$500=B883)*(Брони!$D$2:$D$500=N883)*((((Брони!$F$2:$F$500="Выдана")*NOW())+((Брони!$F$2:$F$500="Возвращена")*Брони!$E$2:$E$500))&gt;=A883)*Брони!$A$2:$A$500)</f>
        <v/>
      </c>
      <c r="P883" s="19">
        <f>SUMPRODUCT((Брони!$B$2:$B$500=B883)*(Брони!$D$2:$D$500=N883)*(((Брони!$F$2:$F$500="Выдана")+(Брони!$F$2:$F$500="Возвращена"))))</f>
        <v/>
      </c>
      <c r="Q883" s="10" t="n"/>
    </row>
    <row r="884">
      <c r="A884" s="11" t="n"/>
      <c r="B884" s="10" t="n"/>
      <c r="C884" s="10" t="n"/>
      <c r="D884" s="14" t="n"/>
      <c r="E884" s="10" t="n"/>
      <c r="F884" s="20">
        <f>IF(OR(A884="",B884=""),"",IF(OR(NOT(ISNUMBER(A884)),ISERROR(N884+O884+P884)),"Проверьте даты",IF(AND(N884&gt;0,P884&gt;1),"Дубль",IF(AND(N884&gt;0,O884&gt;0),O884,"Вне аренды"))))</f>
        <v/>
      </c>
      <c r="G884" s="12">
        <f>IF(ISNUMBER(F884),IFERROR(INDEX(Брони!$C$2:$C$500,MATCH(F884,Брони!$A$2:$A$500,0)),""),"")</f>
        <v/>
      </c>
      <c r="H884" s="10" t="n"/>
      <c r="I884" s="18" t="n"/>
      <c r="J884" s="12">
        <f>IF(AND(ISNUMBER(F884),I884&lt;&gt;""),IFERROR(IF(AND(INDEX(Брони!$F$2:$F$500,MATCH(F884,Брони!$A$2:$A$500,0))="Возвращена",I884&gt;INDEX(Брони!$E$2:$E$500,MATCH(F884,Брони!$A$2:$A$500,0))),"Да",""),""),"")</f>
        <v/>
      </c>
      <c r="K884" s="10" t="n"/>
      <c r="L884" s="14" t="n"/>
      <c r="M884" s="15">
        <f>IF(OR(A884="",B884=""),"",IF(AND(ISNUMBER(F884),H884&lt;&gt;"Компания"),D884+L884,0))</f>
        <v/>
      </c>
      <c r="N884" s="21">
        <f>SUMPRODUCT(MAX((Брони!$B$2:$B$500=B884)*((Брони!$F$2:$F$500="Выдана")+(Брони!$F$2:$F$500="Возвращена"))*(Брони!$D$2:$D$500&lt;=A884)*Брони!$D$2:$D$500))</f>
        <v/>
      </c>
      <c r="O884" s="19">
        <f>SUMPRODUCT((Брони!$B$2:$B$500=B884)*(Брони!$D$2:$D$500=N884)*((((Брони!$F$2:$F$500="Выдана")*NOW())+((Брони!$F$2:$F$500="Возвращена")*Брони!$E$2:$E$500))&gt;=A884)*Брони!$A$2:$A$500)</f>
        <v/>
      </c>
      <c r="P884" s="19">
        <f>SUMPRODUCT((Брони!$B$2:$B$500=B884)*(Брони!$D$2:$D$500=N884)*(((Брони!$F$2:$F$500="Выдана")+(Брони!$F$2:$F$500="Возвращена"))))</f>
        <v/>
      </c>
      <c r="Q884" s="10" t="n"/>
    </row>
    <row r="885">
      <c r="A885" s="11" t="n"/>
      <c r="B885" s="10" t="n"/>
      <c r="C885" s="10" t="n"/>
      <c r="D885" s="14" t="n"/>
      <c r="E885" s="10" t="n"/>
      <c r="F885" s="20">
        <f>IF(OR(A885="",B885=""),"",IF(OR(NOT(ISNUMBER(A885)),ISERROR(N885+O885+P885)),"Проверьте даты",IF(AND(N885&gt;0,P885&gt;1),"Дубль",IF(AND(N885&gt;0,O885&gt;0),O885,"Вне аренды"))))</f>
        <v/>
      </c>
      <c r="G885" s="12">
        <f>IF(ISNUMBER(F885),IFERROR(INDEX(Брони!$C$2:$C$500,MATCH(F885,Брони!$A$2:$A$500,0)),""),"")</f>
        <v/>
      </c>
      <c r="H885" s="10" t="n"/>
      <c r="I885" s="18" t="n"/>
      <c r="J885" s="12">
        <f>IF(AND(ISNUMBER(F885),I885&lt;&gt;""),IFERROR(IF(AND(INDEX(Брони!$F$2:$F$500,MATCH(F885,Брони!$A$2:$A$500,0))="Возвращена",I885&gt;INDEX(Брони!$E$2:$E$500,MATCH(F885,Брони!$A$2:$A$500,0))),"Да",""),""),"")</f>
        <v/>
      </c>
      <c r="K885" s="10" t="n"/>
      <c r="L885" s="14" t="n"/>
      <c r="M885" s="15">
        <f>IF(OR(A885="",B885=""),"",IF(AND(ISNUMBER(F885),H885&lt;&gt;"Компания"),D885+L885,0))</f>
        <v/>
      </c>
      <c r="N885" s="21">
        <f>SUMPRODUCT(MAX((Брони!$B$2:$B$500=B885)*((Брони!$F$2:$F$500="Выдана")+(Брони!$F$2:$F$500="Возвращена"))*(Брони!$D$2:$D$500&lt;=A885)*Брони!$D$2:$D$500))</f>
        <v/>
      </c>
      <c r="O885" s="19">
        <f>SUMPRODUCT((Брони!$B$2:$B$500=B885)*(Брони!$D$2:$D$500=N885)*((((Брони!$F$2:$F$500="Выдана")*NOW())+((Брони!$F$2:$F$500="Возвращена")*Брони!$E$2:$E$500))&gt;=A885)*Брони!$A$2:$A$500)</f>
        <v/>
      </c>
      <c r="P885" s="19">
        <f>SUMPRODUCT((Брони!$B$2:$B$500=B885)*(Брони!$D$2:$D$500=N885)*(((Брони!$F$2:$F$500="Выдана")+(Брони!$F$2:$F$500="Возвращена"))))</f>
        <v/>
      </c>
      <c r="Q885" s="10" t="n"/>
    </row>
    <row r="886">
      <c r="A886" s="11" t="n"/>
      <c r="B886" s="10" t="n"/>
      <c r="C886" s="10" t="n"/>
      <c r="D886" s="14" t="n"/>
      <c r="E886" s="10" t="n"/>
      <c r="F886" s="20">
        <f>IF(OR(A886="",B886=""),"",IF(OR(NOT(ISNUMBER(A886)),ISERROR(N886+O886+P886)),"Проверьте даты",IF(AND(N886&gt;0,P886&gt;1),"Дубль",IF(AND(N886&gt;0,O886&gt;0),O886,"Вне аренды"))))</f>
        <v/>
      </c>
      <c r="G886" s="12">
        <f>IF(ISNUMBER(F886),IFERROR(INDEX(Брони!$C$2:$C$500,MATCH(F886,Брони!$A$2:$A$500,0)),""),"")</f>
        <v/>
      </c>
      <c r="H886" s="10" t="n"/>
      <c r="I886" s="18" t="n"/>
      <c r="J886" s="12">
        <f>IF(AND(ISNUMBER(F886),I886&lt;&gt;""),IFERROR(IF(AND(INDEX(Брони!$F$2:$F$500,MATCH(F886,Брони!$A$2:$A$500,0))="Возвращена",I886&gt;INDEX(Брони!$E$2:$E$500,MATCH(F886,Брони!$A$2:$A$500,0))),"Да",""),""),"")</f>
        <v/>
      </c>
      <c r="K886" s="10" t="n"/>
      <c r="L886" s="14" t="n"/>
      <c r="M886" s="15">
        <f>IF(OR(A886="",B886=""),"",IF(AND(ISNUMBER(F886),H886&lt;&gt;"Компания"),D886+L886,0))</f>
        <v/>
      </c>
      <c r="N886" s="21">
        <f>SUMPRODUCT(MAX((Брони!$B$2:$B$500=B886)*((Брони!$F$2:$F$500="Выдана")+(Брони!$F$2:$F$500="Возвращена"))*(Брони!$D$2:$D$500&lt;=A886)*Брони!$D$2:$D$500))</f>
        <v/>
      </c>
      <c r="O886" s="19">
        <f>SUMPRODUCT((Брони!$B$2:$B$500=B886)*(Брони!$D$2:$D$500=N886)*((((Брони!$F$2:$F$500="Выдана")*NOW())+((Брони!$F$2:$F$500="Возвращена")*Брони!$E$2:$E$500))&gt;=A886)*Брони!$A$2:$A$500)</f>
        <v/>
      </c>
      <c r="P886" s="19">
        <f>SUMPRODUCT((Брони!$B$2:$B$500=B886)*(Брони!$D$2:$D$500=N886)*(((Брони!$F$2:$F$500="Выдана")+(Брони!$F$2:$F$500="Возвращена"))))</f>
        <v/>
      </c>
      <c r="Q886" s="10" t="n"/>
    </row>
    <row r="887">
      <c r="A887" s="11" t="n"/>
      <c r="B887" s="10" t="n"/>
      <c r="C887" s="10" t="n"/>
      <c r="D887" s="14" t="n"/>
      <c r="E887" s="10" t="n"/>
      <c r="F887" s="20">
        <f>IF(OR(A887="",B887=""),"",IF(OR(NOT(ISNUMBER(A887)),ISERROR(N887+O887+P887)),"Проверьте даты",IF(AND(N887&gt;0,P887&gt;1),"Дубль",IF(AND(N887&gt;0,O887&gt;0),O887,"Вне аренды"))))</f>
        <v/>
      </c>
      <c r="G887" s="12">
        <f>IF(ISNUMBER(F887),IFERROR(INDEX(Брони!$C$2:$C$500,MATCH(F887,Брони!$A$2:$A$500,0)),""),"")</f>
        <v/>
      </c>
      <c r="H887" s="10" t="n"/>
      <c r="I887" s="18" t="n"/>
      <c r="J887" s="12">
        <f>IF(AND(ISNUMBER(F887),I887&lt;&gt;""),IFERROR(IF(AND(INDEX(Брони!$F$2:$F$500,MATCH(F887,Брони!$A$2:$A$500,0))="Возвращена",I887&gt;INDEX(Брони!$E$2:$E$500,MATCH(F887,Брони!$A$2:$A$500,0))),"Да",""),""),"")</f>
        <v/>
      </c>
      <c r="K887" s="10" t="n"/>
      <c r="L887" s="14" t="n"/>
      <c r="M887" s="15">
        <f>IF(OR(A887="",B887=""),"",IF(AND(ISNUMBER(F887),H887&lt;&gt;"Компания"),D887+L887,0))</f>
        <v/>
      </c>
      <c r="N887" s="21">
        <f>SUMPRODUCT(MAX((Брони!$B$2:$B$500=B887)*((Брони!$F$2:$F$500="Выдана")+(Брони!$F$2:$F$500="Возвращена"))*(Брони!$D$2:$D$500&lt;=A887)*Брони!$D$2:$D$500))</f>
        <v/>
      </c>
      <c r="O887" s="19">
        <f>SUMPRODUCT((Брони!$B$2:$B$500=B887)*(Брони!$D$2:$D$500=N887)*((((Брони!$F$2:$F$500="Выдана")*NOW())+((Брони!$F$2:$F$500="Возвращена")*Брони!$E$2:$E$500))&gt;=A887)*Брони!$A$2:$A$500)</f>
        <v/>
      </c>
      <c r="P887" s="19">
        <f>SUMPRODUCT((Брони!$B$2:$B$500=B887)*(Брони!$D$2:$D$500=N887)*(((Брони!$F$2:$F$500="Выдана")+(Брони!$F$2:$F$500="Возвращена"))))</f>
        <v/>
      </c>
      <c r="Q887" s="10" t="n"/>
    </row>
    <row r="888">
      <c r="A888" s="11" t="n"/>
      <c r="B888" s="10" t="n"/>
      <c r="C888" s="10" t="n"/>
      <c r="D888" s="14" t="n"/>
      <c r="E888" s="10" t="n"/>
      <c r="F888" s="20">
        <f>IF(OR(A888="",B888=""),"",IF(OR(NOT(ISNUMBER(A888)),ISERROR(N888+O888+P888)),"Проверьте даты",IF(AND(N888&gt;0,P888&gt;1),"Дубль",IF(AND(N888&gt;0,O888&gt;0),O888,"Вне аренды"))))</f>
        <v/>
      </c>
      <c r="G888" s="12">
        <f>IF(ISNUMBER(F888),IFERROR(INDEX(Брони!$C$2:$C$500,MATCH(F888,Брони!$A$2:$A$500,0)),""),"")</f>
        <v/>
      </c>
      <c r="H888" s="10" t="n"/>
      <c r="I888" s="18" t="n"/>
      <c r="J888" s="12">
        <f>IF(AND(ISNUMBER(F888),I888&lt;&gt;""),IFERROR(IF(AND(INDEX(Брони!$F$2:$F$500,MATCH(F888,Брони!$A$2:$A$500,0))="Возвращена",I888&gt;INDEX(Брони!$E$2:$E$500,MATCH(F888,Брони!$A$2:$A$500,0))),"Да",""),""),"")</f>
        <v/>
      </c>
      <c r="K888" s="10" t="n"/>
      <c r="L888" s="14" t="n"/>
      <c r="M888" s="15">
        <f>IF(OR(A888="",B888=""),"",IF(AND(ISNUMBER(F888),H888&lt;&gt;"Компания"),D888+L888,0))</f>
        <v/>
      </c>
      <c r="N888" s="21">
        <f>SUMPRODUCT(MAX((Брони!$B$2:$B$500=B888)*((Брони!$F$2:$F$500="Выдана")+(Брони!$F$2:$F$500="Возвращена"))*(Брони!$D$2:$D$500&lt;=A888)*Брони!$D$2:$D$500))</f>
        <v/>
      </c>
      <c r="O888" s="19">
        <f>SUMPRODUCT((Брони!$B$2:$B$500=B888)*(Брони!$D$2:$D$500=N888)*((((Брони!$F$2:$F$500="Выдана")*NOW())+((Брони!$F$2:$F$500="Возвращена")*Брони!$E$2:$E$500))&gt;=A888)*Брони!$A$2:$A$500)</f>
        <v/>
      </c>
      <c r="P888" s="19">
        <f>SUMPRODUCT((Брони!$B$2:$B$500=B888)*(Брони!$D$2:$D$500=N888)*(((Брони!$F$2:$F$500="Выдана")+(Брони!$F$2:$F$500="Возвращена"))))</f>
        <v/>
      </c>
      <c r="Q888" s="10" t="n"/>
    </row>
    <row r="889">
      <c r="A889" s="11" t="n"/>
      <c r="B889" s="10" t="n"/>
      <c r="C889" s="10" t="n"/>
      <c r="D889" s="14" t="n"/>
      <c r="E889" s="10" t="n"/>
      <c r="F889" s="20">
        <f>IF(OR(A889="",B889=""),"",IF(OR(NOT(ISNUMBER(A889)),ISERROR(N889+O889+P889)),"Проверьте даты",IF(AND(N889&gt;0,P889&gt;1),"Дубль",IF(AND(N889&gt;0,O889&gt;0),O889,"Вне аренды"))))</f>
        <v/>
      </c>
      <c r="G889" s="12">
        <f>IF(ISNUMBER(F889),IFERROR(INDEX(Брони!$C$2:$C$500,MATCH(F889,Брони!$A$2:$A$500,0)),""),"")</f>
        <v/>
      </c>
      <c r="H889" s="10" t="n"/>
      <c r="I889" s="18" t="n"/>
      <c r="J889" s="12">
        <f>IF(AND(ISNUMBER(F889),I889&lt;&gt;""),IFERROR(IF(AND(INDEX(Брони!$F$2:$F$500,MATCH(F889,Брони!$A$2:$A$500,0))="Возвращена",I889&gt;INDEX(Брони!$E$2:$E$500,MATCH(F889,Брони!$A$2:$A$500,0))),"Да",""),""),"")</f>
        <v/>
      </c>
      <c r="K889" s="10" t="n"/>
      <c r="L889" s="14" t="n"/>
      <c r="M889" s="15">
        <f>IF(OR(A889="",B889=""),"",IF(AND(ISNUMBER(F889),H889&lt;&gt;"Компания"),D889+L889,0))</f>
        <v/>
      </c>
      <c r="N889" s="21">
        <f>SUMPRODUCT(MAX((Брони!$B$2:$B$500=B889)*((Брони!$F$2:$F$500="Выдана")+(Брони!$F$2:$F$500="Возвращена"))*(Брони!$D$2:$D$500&lt;=A889)*Брони!$D$2:$D$500))</f>
        <v/>
      </c>
      <c r="O889" s="19">
        <f>SUMPRODUCT((Брони!$B$2:$B$500=B889)*(Брони!$D$2:$D$500=N889)*((((Брони!$F$2:$F$500="Выдана")*NOW())+((Брони!$F$2:$F$500="Возвращена")*Брони!$E$2:$E$500))&gt;=A889)*Брони!$A$2:$A$500)</f>
        <v/>
      </c>
      <c r="P889" s="19">
        <f>SUMPRODUCT((Брони!$B$2:$B$500=B889)*(Брони!$D$2:$D$500=N889)*(((Брони!$F$2:$F$500="Выдана")+(Брони!$F$2:$F$500="Возвращена"))))</f>
        <v/>
      </c>
      <c r="Q889" s="10" t="n"/>
    </row>
    <row r="890">
      <c r="A890" s="11" t="n"/>
      <c r="B890" s="10" t="n"/>
      <c r="C890" s="10" t="n"/>
      <c r="D890" s="14" t="n"/>
      <c r="E890" s="10" t="n"/>
      <c r="F890" s="20">
        <f>IF(OR(A890="",B890=""),"",IF(OR(NOT(ISNUMBER(A890)),ISERROR(N890+O890+P890)),"Проверьте даты",IF(AND(N890&gt;0,P890&gt;1),"Дубль",IF(AND(N890&gt;0,O890&gt;0),O890,"Вне аренды"))))</f>
        <v/>
      </c>
      <c r="G890" s="12">
        <f>IF(ISNUMBER(F890),IFERROR(INDEX(Брони!$C$2:$C$500,MATCH(F890,Брони!$A$2:$A$500,0)),""),"")</f>
        <v/>
      </c>
      <c r="H890" s="10" t="n"/>
      <c r="I890" s="18" t="n"/>
      <c r="J890" s="12">
        <f>IF(AND(ISNUMBER(F890),I890&lt;&gt;""),IFERROR(IF(AND(INDEX(Брони!$F$2:$F$500,MATCH(F890,Брони!$A$2:$A$500,0))="Возвращена",I890&gt;INDEX(Брони!$E$2:$E$500,MATCH(F890,Брони!$A$2:$A$500,0))),"Да",""),""),"")</f>
        <v/>
      </c>
      <c r="K890" s="10" t="n"/>
      <c r="L890" s="14" t="n"/>
      <c r="M890" s="15">
        <f>IF(OR(A890="",B890=""),"",IF(AND(ISNUMBER(F890),H890&lt;&gt;"Компания"),D890+L890,0))</f>
        <v/>
      </c>
      <c r="N890" s="21">
        <f>SUMPRODUCT(MAX((Брони!$B$2:$B$500=B890)*((Брони!$F$2:$F$500="Выдана")+(Брони!$F$2:$F$500="Возвращена"))*(Брони!$D$2:$D$500&lt;=A890)*Брони!$D$2:$D$500))</f>
        <v/>
      </c>
      <c r="O890" s="19">
        <f>SUMPRODUCT((Брони!$B$2:$B$500=B890)*(Брони!$D$2:$D$500=N890)*((((Брони!$F$2:$F$500="Выдана")*NOW())+((Брони!$F$2:$F$500="Возвращена")*Брони!$E$2:$E$500))&gt;=A890)*Брони!$A$2:$A$500)</f>
        <v/>
      </c>
      <c r="P890" s="19">
        <f>SUMPRODUCT((Брони!$B$2:$B$500=B890)*(Брони!$D$2:$D$500=N890)*(((Брони!$F$2:$F$500="Выдана")+(Брони!$F$2:$F$500="Возвращена"))))</f>
        <v/>
      </c>
      <c r="Q890" s="10" t="n"/>
    </row>
    <row r="891">
      <c r="A891" s="11" t="n"/>
      <c r="B891" s="10" t="n"/>
      <c r="C891" s="10" t="n"/>
      <c r="D891" s="14" t="n"/>
      <c r="E891" s="10" t="n"/>
      <c r="F891" s="20">
        <f>IF(OR(A891="",B891=""),"",IF(OR(NOT(ISNUMBER(A891)),ISERROR(N891+O891+P891)),"Проверьте даты",IF(AND(N891&gt;0,P891&gt;1),"Дубль",IF(AND(N891&gt;0,O891&gt;0),O891,"Вне аренды"))))</f>
        <v/>
      </c>
      <c r="G891" s="12">
        <f>IF(ISNUMBER(F891),IFERROR(INDEX(Брони!$C$2:$C$500,MATCH(F891,Брони!$A$2:$A$500,0)),""),"")</f>
        <v/>
      </c>
      <c r="H891" s="10" t="n"/>
      <c r="I891" s="18" t="n"/>
      <c r="J891" s="12">
        <f>IF(AND(ISNUMBER(F891),I891&lt;&gt;""),IFERROR(IF(AND(INDEX(Брони!$F$2:$F$500,MATCH(F891,Брони!$A$2:$A$500,0))="Возвращена",I891&gt;INDEX(Брони!$E$2:$E$500,MATCH(F891,Брони!$A$2:$A$500,0))),"Да",""),""),"")</f>
        <v/>
      </c>
      <c r="K891" s="10" t="n"/>
      <c r="L891" s="14" t="n"/>
      <c r="M891" s="15">
        <f>IF(OR(A891="",B891=""),"",IF(AND(ISNUMBER(F891),H891&lt;&gt;"Компания"),D891+L891,0))</f>
        <v/>
      </c>
      <c r="N891" s="21">
        <f>SUMPRODUCT(MAX((Брони!$B$2:$B$500=B891)*((Брони!$F$2:$F$500="Выдана")+(Брони!$F$2:$F$500="Возвращена"))*(Брони!$D$2:$D$500&lt;=A891)*Брони!$D$2:$D$500))</f>
        <v/>
      </c>
      <c r="O891" s="19">
        <f>SUMPRODUCT((Брони!$B$2:$B$500=B891)*(Брони!$D$2:$D$500=N891)*((((Брони!$F$2:$F$500="Выдана")*NOW())+((Брони!$F$2:$F$500="Возвращена")*Брони!$E$2:$E$500))&gt;=A891)*Брони!$A$2:$A$500)</f>
        <v/>
      </c>
      <c r="P891" s="19">
        <f>SUMPRODUCT((Брони!$B$2:$B$500=B891)*(Брони!$D$2:$D$500=N891)*(((Брони!$F$2:$F$500="Выдана")+(Брони!$F$2:$F$500="Возвращена"))))</f>
        <v/>
      </c>
      <c r="Q891" s="10" t="n"/>
    </row>
    <row r="892">
      <c r="A892" s="11" t="n"/>
      <c r="B892" s="10" t="n"/>
      <c r="C892" s="10" t="n"/>
      <c r="D892" s="14" t="n"/>
      <c r="E892" s="10" t="n"/>
      <c r="F892" s="20">
        <f>IF(OR(A892="",B892=""),"",IF(OR(NOT(ISNUMBER(A892)),ISERROR(N892+O892+P892)),"Проверьте даты",IF(AND(N892&gt;0,P892&gt;1),"Дубль",IF(AND(N892&gt;0,O892&gt;0),O892,"Вне аренды"))))</f>
        <v/>
      </c>
      <c r="G892" s="12">
        <f>IF(ISNUMBER(F892),IFERROR(INDEX(Брони!$C$2:$C$500,MATCH(F892,Брони!$A$2:$A$500,0)),""),"")</f>
        <v/>
      </c>
      <c r="H892" s="10" t="n"/>
      <c r="I892" s="18" t="n"/>
      <c r="J892" s="12">
        <f>IF(AND(ISNUMBER(F892),I892&lt;&gt;""),IFERROR(IF(AND(INDEX(Брони!$F$2:$F$500,MATCH(F892,Брони!$A$2:$A$500,0))="Возвращена",I892&gt;INDEX(Брони!$E$2:$E$500,MATCH(F892,Брони!$A$2:$A$500,0))),"Да",""),""),"")</f>
        <v/>
      </c>
      <c r="K892" s="10" t="n"/>
      <c r="L892" s="14" t="n"/>
      <c r="M892" s="15">
        <f>IF(OR(A892="",B892=""),"",IF(AND(ISNUMBER(F892),H892&lt;&gt;"Компания"),D892+L892,0))</f>
        <v/>
      </c>
      <c r="N892" s="21">
        <f>SUMPRODUCT(MAX((Брони!$B$2:$B$500=B892)*((Брони!$F$2:$F$500="Выдана")+(Брони!$F$2:$F$500="Возвращена"))*(Брони!$D$2:$D$500&lt;=A892)*Брони!$D$2:$D$500))</f>
        <v/>
      </c>
      <c r="O892" s="19">
        <f>SUMPRODUCT((Брони!$B$2:$B$500=B892)*(Брони!$D$2:$D$500=N892)*((((Брони!$F$2:$F$500="Выдана")*NOW())+((Брони!$F$2:$F$500="Возвращена")*Брони!$E$2:$E$500))&gt;=A892)*Брони!$A$2:$A$500)</f>
        <v/>
      </c>
      <c r="P892" s="19">
        <f>SUMPRODUCT((Брони!$B$2:$B$500=B892)*(Брони!$D$2:$D$500=N892)*(((Брони!$F$2:$F$500="Выдана")+(Брони!$F$2:$F$500="Возвращена"))))</f>
        <v/>
      </c>
      <c r="Q892" s="10" t="n"/>
    </row>
    <row r="893">
      <c r="A893" s="11" t="n"/>
      <c r="B893" s="10" t="n"/>
      <c r="C893" s="10" t="n"/>
      <c r="D893" s="14" t="n"/>
      <c r="E893" s="10" t="n"/>
      <c r="F893" s="20">
        <f>IF(OR(A893="",B893=""),"",IF(OR(NOT(ISNUMBER(A893)),ISERROR(N893+O893+P893)),"Проверьте даты",IF(AND(N893&gt;0,P893&gt;1),"Дубль",IF(AND(N893&gt;0,O893&gt;0),O893,"Вне аренды"))))</f>
        <v/>
      </c>
      <c r="G893" s="12">
        <f>IF(ISNUMBER(F893),IFERROR(INDEX(Брони!$C$2:$C$500,MATCH(F893,Брони!$A$2:$A$500,0)),""),"")</f>
        <v/>
      </c>
      <c r="H893" s="10" t="n"/>
      <c r="I893" s="18" t="n"/>
      <c r="J893" s="12">
        <f>IF(AND(ISNUMBER(F893),I893&lt;&gt;""),IFERROR(IF(AND(INDEX(Брони!$F$2:$F$500,MATCH(F893,Брони!$A$2:$A$500,0))="Возвращена",I893&gt;INDEX(Брони!$E$2:$E$500,MATCH(F893,Брони!$A$2:$A$500,0))),"Да",""),""),"")</f>
        <v/>
      </c>
      <c r="K893" s="10" t="n"/>
      <c r="L893" s="14" t="n"/>
      <c r="M893" s="15">
        <f>IF(OR(A893="",B893=""),"",IF(AND(ISNUMBER(F893),H893&lt;&gt;"Компания"),D893+L893,0))</f>
        <v/>
      </c>
      <c r="N893" s="21">
        <f>SUMPRODUCT(MAX((Брони!$B$2:$B$500=B893)*((Брони!$F$2:$F$500="Выдана")+(Брони!$F$2:$F$500="Возвращена"))*(Брони!$D$2:$D$500&lt;=A893)*Брони!$D$2:$D$500))</f>
        <v/>
      </c>
      <c r="O893" s="19">
        <f>SUMPRODUCT((Брони!$B$2:$B$500=B893)*(Брони!$D$2:$D$500=N893)*((((Брони!$F$2:$F$500="Выдана")*NOW())+((Брони!$F$2:$F$500="Возвращена")*Брони!$E$2:$E$500))&gt;=A893)*Брони!$A$2:$A$500)</f>
        <v/>
      </c>
      <c r="P893" s="19">
        <f>SUMPRODUCT((Брони!$B$2:$B$500=B893)*(Брони!$D$2:$D$500=N893)*(((Брони!$F$2:$F$500="Выдана")+(Брони!$F$2:$F$500="Возвращена"))))</f>
        <v/>
      </c>
      <c r="Q893" s="10" t="n"/>
    </row>
    <row r="894">
      <c r="A894" s="11" t="n"/>
      <c r="B894" s="10" t="n"/>
      <c r="C894" s="10" t="n"/>
      <c r="D894" s="14" t="n"/>
      <c r="E894" s="10" t="n"/>
      <c r="F894" s="20">
        <f>IF(OR(A894="",B894=""),"",IF(OR(NOT(ISNUMBER(A894)),ISERROR(N894+O894+P894)),"Проверьте даты",IF(AND(N894&gt;0,P894&gt;1),"Дубль",IF(AND(N894&gt;0,O894&gt;0),O894,"Вне аренды"))))</f>
        <v/>
      </c>
      <c r="G894" s="12">
        <f>IF(ISNUMBER(F894),IFERROR(INDEX(Брони!$C$2:$C$500,MATCH(F894,Брони!$A$2:$A$500,0)),""),"")</f>
        <v/>
      </c>
      <c r="H894" s="10" t="n"/>
      <c r="I894" s="18" t="n"/>
      <c r="J894" s="12">
        <f>IF(AND(ISNUMBER(F894),I894&lt;&gt;""),IFERROR(IF(AND(INDEX(Брони!$F$2:$F$500,MATCH(F894,Брони!$A$2:$A$500,0))="Возвращена",I894&gt;INDEX(Брони!$E$2:$E$500,MATCH(F894,Брони!$A$2:$A$500,0))),"Да",""),""),"")</f>
        <v/>
      </c>
      <c r="K894" s="10" t="n"/>
      <c r="L894" s="14" t="n"/>
      <c r="M894" s="15">
        <f>IF(OR(A894="",B894=""),"",IF(AND(ISNUMBER(F894),H894&lt;&gt;"Компания"),D894+L894,0))</f>
        <v/>
      </c>
      <c r="N894" s="21">
        <f>SUMPRODUCT(MAX((Брони!$B$2:$B$500=B894)*((Брони!$F$2:$F$500="Выдана")+(Брони!$F$2:$F$500="Возвращена"))*(Брони!$D$2:$D$500&lt;=A894)*Брони!$D$2:$D$500))</f>
        <v/>
      </c>
      <c r="O894" s="19">
        <f>SUMPRODUCT((Брони!$B$2:$B$500=B894)*(Брони!$D$2:$D$500=N894)*((((Брони!$F$2:$F$500="Выдана")*NOW())+((Брони!$F$2:$F$500="Возвращена")*Брони!$E$2:$E$500))&gt;=A894)*Брони!$A$2:$A$500)</f>
        <v/>
      </c>
      <c r="P894" s="19">
        <f>SUMPRODUCT((Брони!$B$2:$B$500=B894)*(Брони!$D$2:$D$500=N894)*(((Брони!$F$2:$F$500="Выдана")+(Брони!$F$2:$F$500="Возвращена"))))</f>
        <v/>
      </c>
      <c r="Q894" s="10" t="n"/>
    </row>
    <row r="895">
      <c r="A895" s="11" t="n"/>
      <c r="B895" s="10" t="n"/>
      <c r="C895" s="10" t="n"/>
      <c r="D895" s="14" t="n"/>
      <c r="E895" s="10" t="n"/>
      <c r="F895" s="20">
        <f>IF(OR(A895="",B895=""),"",IF(OR(NOT(ISNUMBER(A895)),ISERROR(N895+O895+P895)),"Проверьте даты",IF(AND(N895&gt;0,P895&gt;1),"Дубль",IF(AND(N895&gt;0,O895&gt;0),O895,"Вне аренды"))))</f>
        <v/>
      </c>
      <c r="G895" s="12">
        <f>IF(ISNUMBER(F895),IFERROR(INDEX(Брони!$C$2:$C$500,MATCH(F895,Брони!$A$2:$A$500,0)),""),"")</f>
        <v/>
      </c>
      <c r="H895" s="10" t="n"/>
      <c r="I895" s="18" t="n"/>
      <c r="J895" s="12">
        <f>IF(AND(ISNUMBER(F895),I895&lt;&gt;""),IFERROR(IF(AND(INDEX(Брони!$F$2:$F$500,MATCH(F895,Брони!$A$2:$A$500,0))="Возвращена",I895&gt;INDEX(Брони!$E$2:$E$500,MATCH(F895,Брони!$A$2:$A$500,0))),"Да",""),""),"")</f>
        <v/>
      </c>
      <c r="K895" s="10" t="n"/>
      <c r="L895" s="14" t="n"/>
      <c r="M895" s="15">
        <f>IF(OR(A895="",B895=""),"",IF(AND(ISNUMBER(F895),H895&lt;&gt;"Компания"),D895+L895,0))</f>
        <v/>
      </c>
      <c r="N895" s="21">
        <f>SUMPRODUCT(MAX((Брони!$B$2:$B$500=B895)*((Брони!$F$2:$F$500="Выдана")+(Брони!$F$2:$F$500="Возвращена"))*(Брони!$D$2:$D$500&lt;=A895)*Брони!$D$2:$D$500))</f>
        <v/>
      </c>
      <c r="O895" s="19">
        <f>SUMPRODUCT((Брони!$B$2:$B$500=B895)*(Брони!$D$2:$D$500=N895)*((((Брони!$F$2:$F$500="Выдана")*NOW())+((Брони!$F$2:$F$500="Возвращена")*Брони!$E$2:$E$500))&gt;=A895)*Брони!$A$2:$A$500)</f>
        <v/>
      </c>
      <c r="P895" s="19">
        <f>SUMPRODUCT((Брони!$B$2:$B$500=B895)*(Брони!$D$2:$D$500=N895)*(((Брони!$F$2:$F$500="Выдана")+(Брони!$F$2:$F$500="Возвращена"))))</f>
        <v/>
      </c>
      <c r="Q895" s="10" t="n"/>
    </row>
    <row r="896">
      <c r="A896" s="11" t="n"/>
      <c r="B896" s="10" t="n"/>
      <c r="C896" s="10" t="n"/>
      <c r="D896" s="14" t="n"/>
      <c r="E896" s="10" t="n"/>
      <c r="F896" s="20">
        <f>IF(OR(A896="",B896=""),"",IF(OR(NOT(ISNUMBER(A896)),ISERROR(N896+O896+P896)),"Проверьте даты",IF(AND(N896&gt;0,P896&gt;1),"Дубль",IF(AND(N896&gt;0,O896&gt;0),O896,"Вне аренды"))))</f>
        <v/>
      </c>
      <c r="G896" s="12">
        <f>IF(ISNUMBER(F896),IFERROR(INDEX(Брони!$C$2:$C$500,MATCH(F896,Брони!$A$2:$A$500,0)),""),"")</f>
        <v/>
      </c>
      <c r="H896" s="10" t="n"/>
      <c r="I896" s="18" t="n"/>
      <c r="J896" s="12">
        <f>IF(AND(ISNUMBER(F896),I896&lt;&gt;""),IFERROR(IF(AND(INDEX(Брони!$F$2:$F$500,MATCH(F896,Брони!$A$2:$A$500,0))="Возвращена",I896&gt;INDEX(Брони!$E$2:$E$500,MATCH(F896,Брони!$A$2:$A$500,0))),"Да",""),""),"")</f>
        <v/>
      </c>
      <c r="K896" s="10" t="n"/>
      <c r="L896" s="14" t="n"/>
      <c r="M896" s="15">
        <f>IF(OR(A896="",B896=""),"",IF(AND(ISNUMBER(F896),H896&lt;&gt;"Компания"),D896+L896,0))</f>
        <v/>
      </c>
      <c r="N896" s="21">
        <f>SUMPRODUCT(MAX((Брони!$B$2:$B$500=B896)*((Брони!$F$2:$F$500="Выдана")+(Брони!$F$2:$F$500="Возвращена"))*(Брони!$D$2:$D$500&lt;=A896)*Брони!$D$2:$D$500))</f>
        <v/>
      </c>
      <c r="O896" s="19">
        <f>SUMPRODUCT((Брони!$B$2:$B$500=B896)*(Брони!$D$2:$D$500=N896)*((((Брони!$F$2:$F$500="Выдана")*NOW())+((Брони!$F$2:$F$500="Возвращена")*Брони!$E$2:$E$500))&gt;=A896)*Брони!$A$2:$A$500)</f>
        <v/>
      </c>
      <c r="P896" s="19">
        <f>SUMPRODUCT((Брони!$B$2:$B$500=B896)*(Брони!$D$2:$D$500=N896)*(((Брони!$F$2:$F$500="Выдана")+(Брони!$F$2:$F$500="Возвращена"))))</f>
        <v/>
      </c>
      <c r="Q896" s="10" t="n"/>
    </row>
    <row r="897">
      <c r="A897" s="11" t="n"/>
      <c r="B897" s="10" t="n"/>
      <c r="C897" s="10" t="n"/>
      <c r="D897" s="14" t="n"/>
      <c r="E897" s="10" t="n"/>
      <c r="F897" s="20">
        <f>IF(OR(A897="",B897=""),"",IF(OR(NOT(ISNUMBER(A897)),ISERROR(N897+O897+P897)),"Проверьте даты",IF(AND(N897&gt;0,P897&gt;1),"Дубль",IF(AND(N897&gt;0,O897&gt;0),O897,"Вне аренды"))))</f>
        <v/>
      </c>
      <c r="G897" s="12">
        <f>IF(ISNUMBER(F897),IFERROR(INDEX(Брони!$C$2:$C$500,MATCH(F897,Брони!$A$2:$A$500,0)),""),"")</f>
        <v/>
      </c>
      <c r="H897" s="10" t="n"/>
      <c r="I897" s="18" t="n"/>
      <c r="J897" s="12">
        <f>IF(AND(ISNUMBER(F897),I897&lt;&gt;""),IFERROR(IF(AND(INDEX(Брони!$F$2:$F$500,MATCH(F897,Брони!$A$2:$A$500,0))="Возвращена",I897&gt;INDEX(Брони!$E$2:$E$500,MATCH(F897,Брони!$A$2:$A$500,0))),"Да",""),""),"")</f>
        <v/>
      </c>
      <c r="K897" s="10" t="n"/>
      <c r="L897" s="14" t="n"/>
      <c r="M897" s="15">
        <f>IF(OR(A897="",B897=""),"",IF(AND(ISNUMBER(F897),H897&lt;&gt;"Компания"),D897+L897,0))</f>
        <v/>
      </c>
      <c r="N897" s="21">
        <f>SUMPRODUCT(MAX((Брони!$B$2:$B$500=B897)*((Брони!$F$2:$F$500="Выдана")+(Брони!$F$2:$F$500="Возвращена"))*(Брони!$D$2:$D$500&lt;=A897)*Брони!$D$2:$D$500))</f>
        <v/>
      </c>
      <c r="O897" s="19">
        <f>SUMPRODUCT((Брони!$B$2:$B$500=B897)*(Брони!$D$2:$D$500=N897)*((((Брони!$F$2:$F$500="Выдана")*NOW())+((Брони!$F$2:$F$500="Возвращена")*Брони!$E$2:$E$500))&gt;=A897)*Брони!$A$2:$A$500)</f>
        <v/>
      </c>
      <c r="P897" s="19">
        <f>SUMPRODUCT((Брони!$B$2:$B$500=B897)*(Брони!$D$2:$D$500=N897)*(((Брони!$F$2:$F$500="Выдана")+(Брони!$F$2:$F$500="Возвращена"))))</f>
        <v/>
      </c>
      <c r="Q897" s="10" t="n"/>
    </row>
    <row r="898">
      <c r="A898" s="11" t="n"/>
      <c r="B898" s="10" t="n"/>
      <c r="C898" s="10" t="n"/>
      <c r="D898" s="14" t="n"/>
      <c r="E898" s="10" t="n"/>
      <c r="F898" s="20">
        <f>IF(OR(A898="",B898=""),"",IF(OR(NOT(ISNUMBER(A898)),ISERROR(N898+O898+P898)),"Проверьте даты",IF(AND(N898&gt;0,P898&gt;1),"Дубль",IF(AND(N898&gt;0,O898&gt;0),O898,"Вне аренды"))))</f>
        <v/>
      </c>
      <c r="G898" s="12">
        <f>IF(ISNUMBER(F898),IFERROR(INDEX(Брони!$C$2:$C$500,MATCH(F898,Брони!$A$2:$A$500,0)),""),"")</f>
        <v/>
      </c>
      <c r="H898" s="10" t="n"/>
      <c r="I898" s="18" t="n"/>
      <c r="J898" s="12">
        <f>IF(AND(ISNUMBER(F898),I898&lt;&gt;""),IFERROR(IF(AND(INDEX(Брони!$F$2:$F$500,MATCH(F898,Брони!$A$2:$A$500,0))="Возвращена",I898&gt;INDEX(Брони!$E$2:$E$500,MATCH(F898,Брони!$A$2:$A$500,0))),"Да",""),""),"")</f>
        <v/>
      </c>
      <c r="K898" s="10" t="n"/>
      <c r="L898" s="14" t="n"/>
      <c r="M898" s="15">
        <f>IF(OR(A898="",B898=""),"",IF(AND(ISNUMBER(F898),H898&lt;&gt;"Компания"),D898+L898,0))</f>
        <v/>
      </c>
      <c r="N898" s="21">
        <f>SUMPRODUCT(MAX((Брони!$B$2:$B$500=B898)*((Брони!$F$2:$F$500="Выдана")+(Брони!$F$2:$F$500="Возвращена"))*(Брони!$D$2:$D$500&lt;=A898)*Брони!$D$2:$D$500))</f>
        <v/>
      </c>
      <c r="O898" s="19">
        <f>SUMPRODUCT((Брони!$B$2:$B$500=B898)*(Брони!$D$2:$D$500=N898)*((((Брони!$F$2:$F$500="Выдана")*NOW())+((Брони!$F$2:$F$500="Возвращена")*Брони!$E$2:$E$500))&gt;=A898)*Брони!$A$2:$A$500)</f>
        <v/>
      </c>
      <c r="P898" s="19">
        <f>SUMPRODUCT((Брони!$B$2:$B$500=B898)*(Брони!$D$2:$D$500=N898)*(((Брони!$F$2:$F$500="Выдана")+(Брони!$F$2:$F$500="Возвращена"))))</f>
        <v/>
      </c>
      <c r="Q898" s="10" t="n"/>
    </row>
    <row r="899">
      <c r="A899" s="11" t="n"/>
      <c r="B899" s="10" t="n"/>
      <c r="C899" s="10" t="n"/>
      <c r="D899" s="14" t="n"/>
      <c r="E899" s="10" t="n"/>
      <c r="F899" s="20">
        <f>IF(OR(A899="",B899=""),"",IF(OR(NOT(ISNUMBER(A899)),ISERROR(N899+O899+P899)),"Проверьте даты",IF(AND(N899&gt;0,P899&gt;1),"Дубль",IF(AND(N899&gt;0,O899&gt;0),O899,"Вне аренды"))))</f>
        <v/>
      </c>
      <c r="G899" s="12">
        <f>IF(ISNUMBER(F899),IFERROR(INDEX(Брони!$C$2:$C$500,MATCH(F899,Брони!$A$2:$A$500,0)),""),"")</f>
        <v/>
      </c>
      <c r="H899" s="10" t="n"/>
      <c r="I899" s="18" t="n"/>
      <c r="J899" s="12">
        <f>IF(AND(ISNUMBER(F899),I899&lt;&gt;""),IFERROR(IF(AND(INDEX(Брони!$F$2:$F$500,MATCH(F899,Брони!$A$2:$A$500,0))="Возвращена",I899&gt;INDEX(Брони!$E$2:$E$500,MATCH(F899,Брони!$A$2:$A$500,0))),"Да",""),""),"")</f>
        <v/>
      </c>
      <c r="K899" s="10" t="n"/>
      <c r="L899" s="14" t="n"/>
      <c r="M899" s="15">
        <f>IF(OR(A899="",B899=""),"",IF(AND(ISNUMBER(F899),H899&lt;&gt;"Компания"),D899+L899,0))</f>
        <v/>
      </c>
      <c r="N899" s="21">
        <f>SUMPRODUCT(MAX((Брони!$B$2:$B$500=B899)*((Брони!$F$2:$F$500="Выдана")+(Брони!$F$2:$F$500="Возвращена"))*(Брони!$D$2:$D$500&lt;=A899)*Брони!$D$2:$D$500))</f>
        <v/>
      </c>
      <c r="O899" s="19">
        <f>SUMPRODUCT((Брони!$B$2:$B$500=B899)*(Брони!$D$2:$D$500=N899)*((((Брони!$F$2:$F$500="Выдана")*NOW())+((Брони!$F$2:$F$500="Возвращена")*Брони!$E$2:$E$500))&gt;=A899)*Брони!$A$2:$A$500)</f>
        <v/>
      </c>
      <c r="P899" s="19">
        <f>SUMPRODUCT((Брони!$B$2:$B$500=B899)*(Брони!$D$2:$D$500=N899)*(((Брони!$F$2:$F$500="Выдана")+(Брони!$F$2:$F$500="Возвращена"))))</f>
        <v/>
      </c>
      <c r="Q899" s="10" t="n"/>
    </row>
    <row r="900">
      <c r="A900" s="11" t="n"/>
      <c r="B900" s="10" t="n"/>
      <c r="C900" s="10" t="n"/>
      <c r="D900" s="14" t="n"/>
      <c r="E900" s="10" t="n"/>
      <c r="F900" s="20">
        <f>IF(OR(A900="",B900=""),"",IF(OR(NOT(ISNUMBER(A900)),ISERROR(N900+O900+P900)),"Проверьте даты",IF(AND(N900&gt;0,P900&gt;1),"Дубль",IF(AND(N900&gt;0,O900&gt;0),O900,"Вне аренды"))))</f>
        <v/>
      </c>
      <c r="G900" s="12">
        <f>IF(ISNUMBER(F900),IFERROR(INDEX(Брони!$C$2:$C$500,MATCH(F900,Брони!$A$2:$A$500,0)),""),"")</f>
        <v/>
      </c>
      <c r="H900" s="10" t="n"/>
      <c r="I900" s="18" t="n"/>
      <c r="J900" s="12">
        <f>IF(AND(ISNUMBER(F900),I900&lt;&gt;""),IFERROR(IF(AND(INDEX(Брони!$F$2:$F$500,MATCH(F900,Брони!$A$2:$A$500,0))="Возвращена",I900&gt;INDEX(Брони!$E$2:$E$500,MATCH(F900,Брони!$A$2:$A$500,0))),"Да",""),""),"")</f>
        <v/>
      </c>
      <c r="K900" s="10" t="n"/>
      <c r="L900" s="14" t="n"/>
      <c r="M900" s="15">
        <f>IF(OR(A900="",B900=""),"",IF(AND(ISNUMBER(F900),H900&lt;&gt;"Компания"),D900+L900,0))</f>
        <v/>
      </c>
      <c r="N900" s="21">
        <f>SUMPRODUCT(MAX((Брони!$B$2:$B$500=B900)*((Брони!$F$2:$F$500="Выдана")+(Брони!$F$2:$F$500="Возвращена"))*(Брони!$D$2:$D$500&lt;=A900)*Брони!$D$2:$D$500))</f>
        <v/>
      </c>
      <c r="O900" s="19">
        <f>SUMPRODUCT((Брони!$B$2:$B$500=B900)*(Брони!$D$2:$D$500=N900)*((((Брони!$F$2:$F$500="Выдана")*NOW())+((Брони!$F$2:$F$500="Возвращена")*Брони!$E$2:$E$500))&gt;=A900)*Брони!$A$2:$A$500)</f>
        <v/>
      </c>
      <c r="P900" s="19">
        <f>SUMPRODUCT((Брони!$B$2:$B$500=B900)*(Брони!$D$2:$D$500=N900)*(((Брони!$F$2:$F$500="Выдана")+(Брони!$F$2:$F$500="Возвращена"))))</f>
        <v/>
      </c>
      <c r="Q900" s="10" t="n"/>
    </row>
    <row r="901">
      <c r="A901" s="11" t="n"/>
      <c r="B901" s="10" t="n"/>
      <c r="C901" s="10" t="n"/>
      <c r="D901" s="14" t="n"/>
      <c r="E901" s="10" t="n"/>
      <c r="F901" s="20">
        <f>IF(OR(A901="",B901=""),"",IF(OR(NOT(ISNUMBER(A901)),ISERROR(N901+O901+P901)),"Проверьте даты",IF(AND(N901&gt;0,P901&gt;1),"Дубль",IF(AND(N901&gt;0,O901&gt;0),O901,"Вне аренды"))))</f>
        <v/>
      </c>
      <c r="G901" s="12">
        <f>IF(ISNUMBER(F901),IFERROR(INDEX(Брони!$C$2:$C$500,MATCH(F901,Брони!$A$2:$A$500,0)),""),"")</f>
        <v/>
      </c>
      <c r="H901" s="10" t="n"/>
      <c r="I901" s="18" t="n"/>
      <c r="J901" s="12">
        <f>IF(AND(ISNUMBER(F901),I901&lt;&gt;""),IFERROR(IF(AND(INDEX(Брони!$F$2:$F$500,MATCH(F901,Брони!$A$2:$A$500,0))="Возвращена",I901&gt;INDEX(Брони!$E$2:$E$500,MATCH(F901,Брони!$A$2:$A$500,0))),"Да",""),""),"")</f>
        <v/>
      </c>
      <c r="K901" s="10" t="n"/>
      <c r="L901" s="14" t="n"/>
      <c r="M901" s="15">
        <f>IF(OR(A901="",B901=""),"",IF(AND(ISNUMBER(F901),H901&lt;&gt;"Компания"),D901+L901,0))</f>
        <v/>
      </c>
      <c r="N901" s="21">
        <f>SUMPRODUCT(MAX((Брони!$B$2:$B$500=B901)*((Брони!$F$2:$F$500="Выдана")+(Брони!$F$2:$F$500="Возвращена"))*(Брони!$D$2:$D$500&lt;=A901)*Брони!$D$2:$D$500))</f>
        <v/>
      </c>
      <c r="O901" s="19">
        <f>SUMPRODUCT((Брони!$B$2:$B$500=B901)*(Брони!$D$2:$D$500=N901)*((((Брони!$F$2:$F$500="Выдана")*NOW())+((Брони!$F$2:$F$500="Возвращена")*Брони!$E$2:$E$500))&gt;=A901)*Брони!$A$2:$A$500)</f>
        <v/>
      </c>
      <c r="P901" s="19">
        <f>SUMPRODUCT((Брони!$B$2:$B$500=B901)*(Брони!$D$2:$D$500=N901)*(((Брони!$F$2:$F$500="Выдана")+(Брони!$F$2:$F$500="Возвращена"))))</f>
        <v/>
      </c>
      <c r="Q901" s="10" t="n"/>
    </row>
    <row r="902">
      <c r="A902" s="11" t="n"/>
      <c r="B902" s="10" t="n"/>
      <c r="C902" s="10" t="n"/>
      <c r="D902" s="14" t="n"/>
      <c r="E902" s="10" t="n"/>
      <c r="F902" s="20">
        <f>IF(OR(A902="",B902=""),"",IF(OR(NOT(ISNUMBER(A902)),ISERROR(N902+O902+P902)),"Проверьте даты",IF(AND(N902&gt;0,P902&gt;1),"Дубль",IF(AND(N902&gt;0,O902&gt;0),O902,"Вне аренды"))))</f>
        <v/>
      </c>
      <c r="G902" s="12">
        <f>IF(ISNUMBER(F902),IFERROR(INDEX(Брони!$C$2:$C$500,MATCH(F902,Брони!$A$2:$A$500,0)),""),"")</f>
        <v/>
      </c>
      <c r="H902" s="10" t="n"/>
      <c r="I902" s="18" t="n"/>
      <c r="J902" s="12">
        <f>IF(AND(ISNUMBER(F902),I902&lt;&gt;""),IFERROR(IF(AND(INDEX(Брони!$F$2:$F$500,MATCH(F902,Брони!$A$2:$A$500,0))="Возвращена",I902&gt;INDEX(Брони!$E$2:$E$500,MATCH(F902,Брони!$A$2:$A$500,0))),"Да",""),""),"")</f>
        <v/>
      </c>
      <c r="K902" s="10" t="n"/>
      <c r="L902" s="14" t="n"/>
      <c r="M902" s="15">
        <f>IF(OR(A902="",B902=""),"",IF(AND(ISNUMBER(F902),H902&lt;&gt;"Компания"),D902+L902,0))</f>
        <v/>
      </c>
      <c r="N902" s="21">
        <f>SUMPRODUCT(MAX((Брони!$B$2:$B$500=B902)*((Брони!$F$2:$F$500="Выдана")+(Брони!$F$2:$F$500="Возвращена"))*(Брони!$D$2:$D$500&lt;=A902)*Брони!$D$2:$D$500))</f>
        <v/>
      </c>
      <c r="O902" s="19">
        <f>SUMPRODUCT((Брони!$B$2:$B$500=B902)*(Брони!$D$2:$D$500=N902)*((((Брони!$F$2:$F$500="Выдана")*NOW())+((Брони!$F$2:$F$500="Возвращена")*Брони!$E$2:$E$500))&gt;=A902)*Брони!$A$2:$A$500)</f>
        <v/>
      </c>
      <c r="P902" s="19">
        <f>SUMPRODUCT((Брони!$B$2:$B$500=B902)*(Брони!$D$2:$D$500=N902)*(((Брони!$F$2:$F$500="Выдана")+(Брони!$F$2:$F$500="Возвращена"))))</f>
        <v/>
      </c>
      <c r="Q902" s="10" t="n"/>
    </row>
    <row r="903">
      <c r="A903" s="11" t="n"/>
      <c r="B903" s="10" t="n"/>
      <c r="C903" s="10" t="n"/>
      <c r="D903" s="14" t="n"/>
      <c r="E903" s="10" t="n"/>
      <c r="F903" s="20">
        <f>IF(OR(A903="",B903=""),"",IF(OR(NOT(ISNUMBER(A903)),ISERROR(N903+O903+P903)),"Проверьте даты",IF(AND(N903&gt;0,P903&gt;1),"Дубль",IF(AND(N903&gt;0,O903&gt;0),O903,"Вне аренды"))))</f>
        <v/>
      </c>
      <c r="G903" s="12">
        <f>IF(ISNUMBER(F903),IFERROR(INDEX(Брони!$C$2:$C$500,MATCH(F903,Брони!$A$2:$A$500,0)),""),"")</f>
        <v/>
      </c>
      <c r="H903" s="10" t="n"/>
      <c r="I903" s="18" t="n"/>
      <c r="J903" s="12">
        <f>IF(AND(ISNUMBER(F903),I903&lt;&gt;""),IFERROR(IF(AND(INDEX(Брони!$F$2:$F$500,MATCH(F903,Брони!$A$2:$A$500,0))="Возвращена",I903&gt;INDEX(Брони!$E$2:$E$500,MATCH(F903,Брони!$A$2:$A$500,0))),"Да",""),""),"")</f>
        <v/>
      </c>
      <c r="K903" s="10" t="n"/>
      <c r="L903" s="14" t="n"/>
      <c r="M903" s="15">
        <f>IF(OR(A903="",B903=""),"",IF(AND(ISNUMBER(F903),H903&lt;&gt;"Компания"),D903+L903,0))</f>
        <v/>
      </c>
      <c r="N903" s="21">
        <f>SUMPRODUCT(MAX((Брони!$B$2:$B$500=B903)*((Брони!$F$2:$F$500="Выдана")+(Брони!$F$2:$F$500="Возвращена"))*(Брони!$D$2:$D$500&lt;=A903)*Брони!$D$2:$D$500))</f>
        <v/>
      </c>
      <c r="O903" s="19">
        <f>SUMPRODUCT((Брони!$B$2:$B$500=B903)*(Брони!$D$2:$D$500=N903)*((((Брони!$F$2:$F$500="Выдана")*NOW())+((Брони!$F$2:$F$500="Возвращена")*Брони!$E$2:$E$500))&gt;=A903)*Брони!$A$2:$A$500)</f>
        <v/>
      </c>
      <c r="P903" s="19">
        <f>SUMPRODUCT((Брони!$B$2:$B$500=B903)*(Брони!$D$2:$D$500=N903)*(((Брони!$F$2:$F$500="Выдана")+(Брони!$F$2:$F$500="Возвращена"))))</f>
        <v/>
      </c>
      <c r="Q903" s="10" t="n"/>
    </row>
    <row r="904">
      <c r="A904" s="11" t="n"/>
      <c r="B904" s="10" t="n"/>
      <c r="C904" s="10" t="n"/>
      <c r="D904" s="14" t="n"/>
      <c r="E904" s="10" t="n"/>
      <c r="F904" s="20">
        <f>IF(OR(A904="",B904=""),"",IF(OR(NOT(ISNUMBER(A904)),ISERROR(N904+O904+P904)),"Проверьте даты",IF(AND(N904&gt;0,P904&gt;1),"Дубль",IF(AND(N904&gt;0,O904&gt;0),O904,"Вне аренды"))))</f>
        <v/>
      </c>
      <c r="G904" s="12">
        <f>IF(ISNUMBER(F904),IFERROR(INDEX(Брони!$C$2:$C$500,MATCH(F904,Брони!$A$2:$A$500,0)),""),"")</f>
        <v/>
      </c>
      <c r="H904" s="10" t="n"/>
      <c r="I904" s="18" t="n"/>
      <c r="J904" s="12">
        <f>IF(AND(ISNUMBER(F904),I904&lt;&gt;""),IFERROR(IF(AND(INDEX(Брони!$F$2:$F$500,MATCH(F904,Брони!$A$2:$A$500,0))="Возвращена",I904&gt;INDEX(Брони!$E$2:$E$500,MATCH(F904,Брони!$A$2:$A$500,0))),"Да",""),""),"")</f>
        <v/>
      </c>
      <c r="K904" s="10" t="n"/>
      <c r="L904" s="14" t="n"/>
      <c r="M904" s="15">
        <f>IF(OR(A904="",B904=""),"",IF(AND(ISNUMBER(F904),H904&lt;&gt;"Компания"),D904+L904,0))</f>
        <v/>
      </c>
      <c r="N904" s="21">
        <f>SUMPRODUCT(MAX((Брони!$B$2:$B$500=B904)*((Брони!$F$2:$F$500="Выдана")+(Брони!$F$2:$F$500="Возвращена"))*(Брони!$D$2:$D$500&lt;=A904)*Брони!$D$2:$D$500))</f>
        <v/>
      </c>
      <c r="O904" s="19">
        <f>SUMPRODUCT((Брони!$B$2:$B$500=B904)*(Брони!$D$2:$D$500=N904)*((((Брони!$F$2:$F$500="Выдана")*NOW())+((Брони!$F$2:$F$500="Возвращена")*Брони!$E$2:$E$500))&gt;=A904)*Брони!$A$2:$A$500)</f>
        <v/>
      </c>
      <c r="P904" s="19">
        <f>SUMPRODUCT((Брони!$B$2:$B$500=B904)*(Брони!$D$2:$D$500=N904)*(((Брони!$F$2:$F$500="Выдана")+(Брони!$F$2:$F$500="Возвращена"))))</f>
        <v/>
      </c>
      <c r="Q904" s="10" t="n"/>
    </row>
    <row r="905">
      <c r="A905" s="11" t="n"/>
      <c r="B905" s="10" t="n"/>
      <c r="C905" s="10" t="n"/>
      <c r="D905" s="14" t="n"/>
      <c r="E905" s="10" t="n"/>
      <c r="F905" s="20">
        <f>IF(OR(A905="",B905=""),"",IF(OR(NOT(ISNUMBER(A905)),ISERROR(N905+O905+P905)),"Проверьте даты",IF(AND(N905&gt;0,P905&gt;1),"Дубль",IF(AND(N905&gt;0,O905&gt;0),O905,"Вне аренды"))))</f>
        <v/>
      </c>
      <c r="G905" s="12">
        <f>IF(ISNUMBER(F905),IFERROR(INDEX(Брони!$C$2:$C$500,MATCH(F905,Брони!$A$2:$A$500,0)),""),"")</f>
        <v/>
      </c>
      <c r="H905" s="10" t="n"/>
      <c r="I905" s="18" t="n"/>
      <c r="J905" s="12">
        <f>IF(AND(ISNUMBER(F905),I905&lt;&gt;""),IFERROR(IF(AND(INDEX(Брони!$F$2:$F$500,MATCH(F905,Брони!$A$2:$A$500,0))="Возвращена",I905&gt;INDEX(Брони!$E$2:$E$500,MATCH(F905,Брони!$A$2:$A$500,0))),"Да",""),""),"")</f>
        <v/>
      </c>
      <c r="K905" s="10" t="n"/>
      <c r="L905" s="14" t="n"/>
      <c r="M905" s="15">
        <f>IF(OR(A905="",B905=""),"",IF(AND(ISNUMBER(F905),H905&lt;&gt;"Компания"),D905+L905,0))</f>
        <v/>
      </c>
      <c r="N905" s="21">
        <f>SUMPRODUCT(MAX((Брони!$B$2:$B$500=B905)*((Брони!$F$2:$F$500="Выдана")+(Брони!$F$2:$F$500="Возвращена"))*(Брони!$D$2:$D$500&lt;=A905)*Брони!$D$2:$D$500))</f>
        <v/>
      </c>
      <c r="O905" s="19">
        <f>SUMPRODUCT((Брони!$B$2:$B$500=B905)*(Брони!$D$2:$D$500=N905)*((((Брони!$F$2:$F$500="Выдана")*NOW())+((Брони!$F$2:$F$500="Возвращена")*Брони!$E$2:$E$500))&gt;=A905)*Брони!$A$2:$A$500)</f>
        <v/>
      </c>
      <c r="P905" s="19">
        <f>SUMPRODUCT((Брони!$B$2:$B$500=B905)*(Брони!$D$2:$D$500=N905)*(((Брони!$F$2:$F$500="Выдана")+(Брони!$F$2:$F$500="Возвращена"))))</f>
        <v/>
      </c>
      <c r="Q905" s="10" t="n"/>
    </row>
    <row r="906">
      <c r="A906" s="11" t="n"/>
      <c r="B906" s="10" t="n"/>
      <c r="C906" s="10" t="n"/>
      <c r="D906" s="14" t="n"/>
      <c r="E906" s="10" t="n"/>
      <c r="F906" s="20">
        <f>IF(OR(A906="",B906=""),"",IF(OR(NOT(ISNUMBER(A906)),ISERROR(N906+O906+P906)),"Проверьте даты",IF(AND(N906&gt;0,P906&gt;1),"Дубль",IF(AND(N906&gt;0,O906&gt;0),O906,"Вне аренды"))))</f>
        <v/>
      </c>
      <c r="G906" s="12">
        <f>IF(ISNUMBER(F906),IFERROR(INDEX(Брони!$C$2:$C$500,MATCH(F906,Брони!$A$2:$A$500,0)),""),"")</f>
        <v/>
      </c>
      <c r="H906" s="10" t="n"/>
      <c r="I906" s="18" t="n"/>
      <c r="J906" s="12">
        <f>IF(AND(ISNUMBER(F906),I906&lt;&gt;""),IFERROR(IF(AND(INDEX(Брони!$F$2:$F$500,MATCH(F906,Брони!$A$2:$A$500,0))="Возвращена",I906&gt;INDEX(Брони!$E$2:$E$500,MATCH(F906,Брони!$A$2:$A$500,0))),"Да",""),""),"")</f>
        <v/>
      </c>
      <c r="K906" s="10" t="n"/>
      <c r="L906" s="14" t="n"/>
      <c r="M906" s="15">
        <f>IF(OR(A906="",B906=""),"",IF(AND(ISNUMBER(F906),H906&lt;&gt;"Компания"),D906+L906,0))</f>
        <v/>
      </c>
      <c r="N906" s="21">
        <f>SUMPRODUCT(MAX((Брони!$B$2:$B$500=B906)*((Брони!$F$2:$F$500="Выдана")+(Брони!$F$2:$F$500="Возвращена"))*(Брони!$D$2:$D$500&lt;=A906)*Брони!$D$2:$D$500))</f>
        <v/>
      </c>
      <c r="O906" s="19">
        <f>SUMPRODUCT((Брони!$B$2:$B$500=B906)*(Брони!$D$2:$D$500=N906)*((((Брони!$F$2:$F$500="Выдана")*NOW())+((Брони!$F$2:$F$500="Возвращена")*Брони!$E$2:$E$500))&gt;=A906)*Брони!$A$2:$A$500)</f>
        <v/>
      </c>
      <c r="P906" s="19">
        <f>SUMPRODUCT((Брони!$B$2:$B$500=B906)*(Брони!$D$2:$D$500=N906)*(((Брони!$F$2:$F$500="Выдана")+(Брони!$F$2:$F$500="Возвращена"))))</f>
        <v/>
      </c>
      <c r="Q906" s="10" t="n"/>
    </row>
    <row r="907">
      <c r="A907" s="11" t="n"/>
      <c r="B907" s="10" t="n"/>
      <c r="C907" s="10" t="n"/>
      <c r="D907" s="14" t="n"/>
      <c r="E907" s="10" t="n"/>
      <c r="F907" s="20">
        <f>IF(OR(A907="",B907=""),"",IF(OR(NOT(ISNUMBER(A907)),ISERROR(N907+O907+P907)),"Проверьте даты",IF(AND(N907&gt;0,P907&gt;1),"Дубль",IF(AND(N907&gt;0,O907&gt;0),O907,"Вне аренды"))))</f>
        <v/>
      </c>
      <c r="G907" s="12">
        <f>IF(ISNUMBER(F907),IFERROR(INDEX(Брони!$C$2:$C$500,MATCH(F907,Брони!$A$2:$A$500,0)),""),"")</f>
        <v/>
      </c>
      <c r="H907" s="10" t="n"/>
      <c r="I907" s="18" t="n"/>
      <c r="J907" s="12">
        <f>IF(AND(ISNUMBER(F907),I907&lt;&gt;""),IFERROR(IF(AND(INDEX(Брони!$F$2:$F$500,MATCH(F907,Брони!$A$2:$A$500,0))="Возвращена",I907&gt;INDEX(Брони!$E$2:$E$500,MATCH(F907,Брони!$A$2:$A$500,0))),"Да",""),""),"")</f>
        <v/>
      </c>
      <c r="K907" s="10" t="n"/>
      <c r="L907" s="14" t="n"/>
      <c r="M907" s="15">
        <f>IF(OR(A907="",B907=""),"",IF(AND(ISNUMBER(F907),H907&lt;&gt;"Компания"),D907+L907,0))</f>
        <v/>
      </c>
      <c r="N907" s="21">
        <f>SUMPRODUCT(MAX((Брони!$B$2:$B$500=B907)*((Брони!$F$2:$F$500="Выдана")+(Брони!$F$2:$F$500="Возвращена"))*(Брони!$D$2:$D$500&lt;=A907)*Брони!$D$2:$D$500))</f>
        <v/>
      </c>
      <c r="O907" s="19">
        <f>SUMPRODUCT((Брони!$B$2:$B$500=B907)*(Брони!$D$2:$D$500=N907)*((((Брони!$F$2:$F$500="Выдана")*NOW())+((Брони!$F$2:$F$500="Возвращена")*Брони!$E$2:$E$500))&gt;=A907)*Брони!$A$2:$A$500)</f>
        <v/>
      </c>
      <c r="P907" s="19">
        <f>SUMPRODUCT((Брони!$B$2:$B$500=B907)*(Брони!$D$2:$D$500=N907)*(((Брони!$F$2:$F$500="Выдана")+(Брони!$F$2:$F$500="Возвращена"))))</f>
        <v/>
      </c>
      <c r="Q907" s="10" t="n"/>
    </row>
    <row r="908">
      <c r="A908" s="11" t="n"/>
      <c r="B908" s="10" t="n"/>
      <c r="C908" s="10" t="n"/>
      <c r="D908" s="14" t="n"/>
      <c r="E908" s="10" t="n"/>
      <c r="F908" s="20">
        <f>IF(OR(A908="",B908=""),"",IF(OR(NOT(ISNUMBER(A908)),ISERROR(N908+O908+P908)),"Проверьте даты",IF(AND(N908&gt;0,P908&gt;1),"Дубль",IF(AND(N908&gt;0,O908&gt;0),O908,"Вне аренды"))))</f>
        <v/>
      </c>
      <c r="G908" s="12">
        <f>IF(ISNUMBER(F908),IFERROR(INDEX(Брони!$C$2:$C$500,MATCH(F908,Брони!$A$2:$A$500,0)),""),"")</f>
        <v/>
      </c>
      <c r="H908" s="10" t="n"/>
      <c r="I908" s="18" t="n"/>
      <c r="J908" s="12">
        <f>IF(AND(ISNUMBER(F908),I908&lt;&gt;""),IFERROR(IF(AND(INDEX(Брони!$F$2:$F$500,MATCH(F908,Брони!$A$2:$A$500,0))="Возвращена",I908&gt;INDEX(Брони!$E$2:$E$500,MATCH(F908,Брони!$A$2:$A$500,0))),"Да",""),""),"")</f>
        <v/>
      </c>
      <c r="K908" s="10" t="n"/>
      <c r="L908" s="14" t="n"/>
      <c r="M908" s="15">
        <f>IF(OR(A908="",B908=""),"",IF(AND(ISNUMBER(F908),H908&lt;&gt;"Компания"),D908+L908,0))</f>
        <v/>
      </c>
      <c r="N908" s="21">
        <f>SUMPRODUCT(MAX((Брони!$B$2:$B$500=B908)*((Брони!$F$2:$F$500="Выдана")+(Брони!$F$2:$F$500="Возвращена"))*(Брони!$D$2:$D$500&lt;=A908)*Брони!$D$2:$D$500))</f>
        <v/>
      </c>
      <c r="O908" s="19">
        <f>SUMPRODUCT((Брони!$B$2:$B$500=B908)*(Брони!$D$2:$D$500=N908)*((((Брони!$F$2:$F$500="Выдана")*NOW())+((Брони!$F$2:$F$500="Возвращена")*Брони!$E$2:$E$500))&gt;=A908)*Брони!$A$2:$A$500)</f>
        <v/>
      </c>
      <c r="P908" s="19">
        <f>SUMPRODUCT((Брони!$B$2:$B$500=B908)*(Брони!$D$2:$D$500=N908)*(((Брони!$F$2:$F$500="Выдана")+(Брони!$F$2:$F$500="Возвращена"))))</f>
        <v/>
      </c>
      <c r="Q908" s="10" t="n"/>
    </row>
    <row r="909">
      <c r="A909" s="11" t="n"/>
      <c r="B909" s="10" t="n"/>
      <c r="C909" s="10" t="n"/>
      <c r="D909" s="14" t="n"/>
      <c r="E909" s="10" t="n"/>
      <c r="F909" s="20">
        <f>IF(OR(A909="",B909=""),"",IF(OR(NOT(ISNUMBER(A909)),ISERROR(N909+O909+P909)),"Проверьте даты",IF(AND(N909&gt;0,P909&gt;1),"Дубль",IF(AND(N909&gt;0,O909&gt;0),O909,"Вне аренды"))))</f>
        <v/>
      </c>
      <c r="G909" s="12">
        <f>IF(ISNUMBER(F909),IFERROR(INDEX(Брони!$C$2:$C$500,MATCH(F909,Брони!$A$2:$A$500,0)),""),"")</f>
        <v/>
      </c>
      <c r="H909" s="10" t="n"/>
      <c r="I909" s="18" t="n"/>
      <c r="J909" s="12">
        <f>IF(AND(ISNUMBER(F909),I909&lt;&gt;""),IFERROR(IF(AND(INDEX(Брони!$F$2:$F$500,MATCH(F909,Брони!$A$2:$A$500,0))="Возвращена",I909&gt;INDEX(Брони!$E$2:$E$500,MATCH(F909,Брони!$A$2:$A$500,0))),"Да",""),""),"")</f>
        <v/>
      </c>
      <c r="K909" s="10" t="n"/>
      <c r="L909" s="14" t="n"/>
      <c r="M909" s="15">
        <f>IF(OR(A909="",B909=""),"",IF(AND(ISNUMBER(F909),H909&lt;&gt;"Компания"),D909+L909,0))</f>
        <v/>
      </c>
      <c r="N909" s="21">
        <f>SUMPRODUCT(MAX((Брони!$B$2:$B$500=B909)*((Брони!$F$2:$F$500="Выдана")+(Брони!$F$2:$F$500="Возвращена"))*(Брони!$D$2:$D$500&lt;=A909)*Брони!$D$2:$D$500))</f>
        <v/>
      </c>
      <c r="O909" s="19">
        <f>SUMPRODUCT((Брони!$B$2:$B$500=B909)*(Брони!$D$2:$D$500=N909)*((((Брони!$F$2:$F$500="Выдана")*NOW())+((Брони!$F$2:$F$500="Возвращена")*Брони!$E$2:$E$500))&gt;=A909)*Брони!$A$2:$A$500)</f>
        <v/>
      </c>
      <c r="P909" s="19">
        <f>SUMPRODUCT((Брони!$B$2:$B$500=B909)*(Брони!$D$2:$D$500=N909)*(((Брони!$F$2:$F$500="Выдана")+(Брони!$F$2:$F$500="Возвращена"))))</f>
        <v/>
      </c>
      <c r="Q909" s="10" t="n"/>
    </row>
    <row r="910">
      <c r="A910" s="11" t="n"/>
      <c r="B910" s="10" t="n"/>
      <c r="C910" s="10" t="n"/>
      <c r="D910" s="14" t="n"/>
      <c r="E910" s="10" t="n"/>
      <c r="F910" s="20">
        <f>IF(OR(A910="",B910=""),"",IF(OR(NOT(ISNUMBER(A910)),ISERROR(N910+O910+P910)),"Проверьте даты",IF(AND(N910&gt;0,P910&gt;1),"Дубль",IF(AND(N910&gt;0,O910&gt;0),O910,"Вне аренды"))))</f>
        <v/>
      </c>
      <c r="G910" s="12">
        <f>IF(ISNUMBER(F910),IFERROR(INDEX(Брони!$C$2:$C$500,MATCH(F910,Брони!$A$2:$A$500,0)),""),"")</f>
        <v/>
      </c>
      <c r="H910" s="10" t="n"/>
      <c r="I910" s="18" t="n"/>
      <c r="J910" s="12">
        <f>IF(AND(ISNUMBER(F910),I910&lt;&gt;""),IFERROR(IF(AND(INDEX(Брони!$F$2:$F$500,MATCH(F910,Брони!$A$2:$A$500,0))="Возвращена",I910&gt;INDEX(Брони!$E$2:$E$500,MATCH(F910,Брони!$A$2:$A$500,0))),"Да",""),""),"")</f>
        <v/>
      </c>
      <c r="K910" s="10" t="n"/>
      <c r="L910" s="14" t="n"/>
      <c r="M910" s="15">
        <f>IF(OR(A910="",B910=""),"",IF(AND(ISNUMBER(F910),H910&lt;&gt;"Компания"),D910+L910,0))</f>
        <v/>
      </c>
      <c r="N910" s="21">
        <f>SUMPRODUCT(MAX((Брони!$B$2:$B$500=B910)*((Брони!$F$2:$F$500="Выдана")+(Брони!$F$2:$F$500="Возвращена"))*(Брони!$D$2:$D$500&lt;=A910)*Брони!$D$2:$D$500))</f>
        <v/>
      </c>
      <c r="O910" s="19">
        <f>SUMPRODUCT((Брони!$B$2:$B$500=B910)*(Брони!$D$2:$D$500=N910)*((((Брони!$F$2:$F$500="Выдана")*NOW())+((Брони!$F$2:$F$500="Возвращена")*Брони!$E$2:$E$500))&gt;=A910)*Брони!$A$2:$A$500)</f>
        <v/>
      </c>
      <c r="P910" s="19">
        <f>SUMPRODUCT((Брони!$B$2:$B$500=B910)*(Брони!$D$2:$D$500=N910)*(((Брони!$F$2:$F$500="Выдана")+(Брони!$F$2:$F$500="Возвращена"))))</f>
        <v/>
      </c>
      <c r="Q910" s="10" t="n"/>
    </row>
    <row r="911">
      <c r="A911" s="11" t="n"/>
      <c r="B911" s="10" t="n"/>
      <c r="C911" s="10" t="n"/>
      <c r="D911" s="14" t="n"/>
      <c r="E911" s="10" t="n"/>
      <c r="F911" s="20">
        <f>IF(OR(A911="",B911=""),"",IF(OR(NOT(ISNUMBER(A911)),ISERROR(N911+O911+P911)),"Проверьте даты",IF(AND(N911&gt;0,P911&gt;1),"Дубль",IF(AND(N911&gt;0,O911&gt;0),O911,"Вне аренды"))))</f>
        <v/>
      </c>
      <c r="G911" s="12">
        <f>IF(ISNUMBER(F911),IFERROR(INDEX(Брони!$C$2:$C$500,MATCH(F911,Брони!$A$2:$A$500,0)),""),"")</f>
        <v/>
      </c>
      <c r="H911" s="10" t="n"/>
      <c r="I911" s="18" t="n"/>
      <c r="J911" s="12">
        <f>IF(AND(ISNUMBER(F911),I911&lt;&gt;""),IFERROR(IF(AND(INDEX(Брони!$F$2:$F$500,MATCH(F911,Брони!$A$2:$A$500,0))="Возвращена",I911&gt;INDEX(Брони!$E$2:$E$500,MATCH(F911,Брони!$A$2:$A$500,0))),"Да",""),""),"")</f>
        <v/>
      </c>
      <c r="K911" s="10" t="n"/>
      <c r="L911" s="14" t="n"/>
      <c r="M911" s="15">
        <f>IF(OR(A911="",B911=""),"",IF(AND(ISNUMBER(F911),H911&lt;&gt;"Компания"),D911+L911,0))</f>
        <v/>
      </c>
      <c r="N911" s="21">
        <f>SUMPRODUCT(MAX((Брони!$B$2:$B$500=B911)*((Брони!$F$2:$F$500="Выдана")+(Брони!$F$2:$F$500="Возвращена"))*(Брони!$D$2:$D$500&lt;=A911)*Брони!$D$2:$D$500))</f>
        <v/>
      </c>
      <c r="O911" s="19">
        <f>SUMPRODUCT((Брони!$B$2:$B$500=B911)*(Брони!$D$2:$D$500=N911)*((((Брони!$F$2:$F$500="Выдана")*NOW())+((Брони!$F$2:$F$500="Возвращена")*Брони!$E$2:$E$500))&gt;=A911)*Брони!$A$2:$A$500)</f>
        <v/>
      </c>
      <c r="P911" s="19">
        <f>SUMPRODUCT((Брони!$B$2:$B$500=B911)*(Брони!$D$2:$D$500=N911)*(((Брони!$F$2:$F$500="Выдана")+(Брони!$F$2:$F$500="Возвращена"))))</f>
        <v/>
      </c>
      <c r="Q911" s="10" t="n"/>
    </row>
    <row r="912">
      <c r="A912" s="11" t="n"/>
      <c r="B912" s="10" t="n"/>
      <c r="C912" s="10" t="n"/>
      <c r="D912" s="14" t="n"/>
      <c r="E912" s="10" t="n"/>
      <c r="F912" s="20">
        <f>IF(OR(A912="",B912=""),"",IF(OR(NOT(ISNUMBER(A912)),ISERROR(N912+O912+P912)),"Проверьте даты",IF(AND(N912&gt;0,P912&gt;1),"Дубль",IF(AND(N912&gt;0,O912&gt;0),O912,"Вне аренды"))))</f>
        <v/>
      </c>
      <c r="G912" s="12">
        <f>IF(ISNUMBER(F912),IFERROR(INDEX(Брони!$C$2:$C$500,MATCH(F912,Брони!$A$2:$A$500,0)),""),"")</f>
        <v/>
      </c>
      <c r="H912" s="10" t="n"/>
      <c r="I912" s="18" t="n"/>
      <c r="J912" s="12">
        <f>IF(AND(ISNUMBER(F912),I912&lt;&gt;""),IFERROR(IF(AND(INDEX(Брони!$F$2:$F$500,MATCH(F912,Брони!$A$2:$A$500,0))="Возвращена",I912&gt;INDEX(Брони!$E$2:$E$500,MATCH(F912,Брони!$A$2:$A$500,0))),"Да",""),""),"")</f>
        <v/>
      </c>
      <c r="K912" s="10" t="n"/>
      <c r="L912" s="14" t="n"/>
      <c r="M912" s="15">
        <f>IF(OR(A912="",B912=""),"",IF(AND(ISNUMBER(F912),H912&lt;&gt;"Компания"),D912+L912,0))</f>
        <v/>
      </c>
      <c r="N912" s="21">
        <f>SUMPRODUCT(MAX((Брони!$B$2:$B$500=B912)*((Брони!$F$2:$F$500="Выдана")+(Брони!$F$2:$F$500="Возвращена"))*(Брони!$D$2:$D$500&lt;=A912)*Брони!$D$2:$D$500))</f>
        <v/>
      </c>
      <c r="O912" s="19">
        <f>SUMPRODUCT((Брони!$B$2:$B$500=B912)*(Брони!$D$2:$D$500=N912)*((((Брони!$F$2:$F$500="Выдана")*NOW())+((Брони!$F$2:$F$500="Возвращена")*Брони!$E$2:$E$500))&gt;=A912)*Брони!$A$2:$A$500)</f>
        <v/>
      </c>
      <c r="P912" s="19">
        <f>SUMPRODUCT((Брони!$B$2:$B$500=B912)*(Брони!$D$2:$D$500=N912)*(((Брони!$F$2:$F$500="Выдана")+(Брони!$F$2:$F$500="Возвращена"))))</f>
        <v/>
      </c>
      <c r="Q912" s="10" t="n"/>
    </row>
    <row r="913">
      <c r="A913" s="11" t="n"/>
      <c r="B913" s="10" t="n"/>
      <c r="C913" s="10" t="n"/>
      <c r="D913" s="14" t="n"/>
      <c r="E913" s="10" t="n"/>
      <c r="F913" s="20">
        <f>IF(OR(A913="",B913=""),"",IF(OR(NOT(ISNUMBER(A913)),ISERROR(N913+O913+P913)),"Проверьте даты",IF(AND(N913&gt;0,P913&gt;1),"Дубль",IF(AND(N913&gt;0,O913&gt;0),O913,"Вне аренды"))))</f>
        <v/>
      </c>
      <c r="G913" s="12">
        <f>IF(ISNUMBER(F913),IFERROR(INDEX(Брони!$C$2:$C$500,MATCH(F913,Брони!$A$2:$A$500,0)),""),"")</f>
        <v/>
      </c>
      <c r="H913" s="10" t="n"/>
      <c r="I913" s="18" t="n"/>
      <c r="J913" s="12">
        <f>IF(AND(ISNUMBER(F913),I913&lt;&gt;""),IFERROR(IF(AND(INDEX(Брони!$F$2:$F$500,MATCH(F913,Брони!$A$2:$A$500,0))="Возвращена",I913&gt;INDEX(Брони!$E$2:$E$500,MATCH(F913,Брони!$A$2:$A$500,0))),"Да",""),""),"")</f>
        <v/>
      </c>
      <c r="K913" s="10" t="n"/>
      <c r="L913" s="14" t="n"/>
      <c r="M913" s="15">
        <f>IF(OR(A913="",B913=""),"",IF(AND(ISNUMBER(F913),H913&lt;&gt;"Компания"),D913+L913,0))</f>
        <v/>
      </c>
      <c r="N913" s="21">
        <f>SUMPRODUCT(MAX((Брони!$B$2:$B$500=B913)*((Брони!$F$2:$F$500="Выдана")+(Брони!$F$2:$F$500="Возвращена"))*(Брони!$D$2:$D$500&lt;=A913)*Брони!$D$2:$D$500))</f>
        <v/>
      </c>
      <c r="O913" s="19">
        <f>SUMPRODUCT((Брони!$B$2:$B$500=B913)*(Брони!$D$2:$D$500=N913)*((((Брони!$F$2:$F$500="Выдана")*NOW())+((Брони!$F$2:$F$500="Возвращена")*Брони!$E$2:$E$500))&gt;=A913)*Брони!$A$2:$A$500)</f>
        <v/>
      </c>
      <c r="P913" s="19">
        <f>SUMPRODUCT((Брони!$B$2:$B$500=B913)*(Брони!$D$2:$D$500=N913)*(((Брони!$F$2:$F$500="Выдана")+(Брони!$F$2:$F$500="Возвращена"))))</f>
        <v/>
      </c>
      <c r="Q913" s="10" t="n"/>
    </row>
    <row r="914">
      <c r="A914" s="11" t="n"/>
      <c r="B914" s="10" t="n"/>
      <c r="C914" s="10" t="n"/>
      <c r="D914" s="14" t="n"/>
      <c r="E914" s="10" t="n"/>
      <c r="F914" s="20">
        <f>IF(OR(A914="",B914=""),"",IF(OR(NOT(ISNUMBER(A914)),ISERROR(N914+O914+P914)),"Проверьте даты",IF(AND(N914&gt;0,P914&gt;1),"Дубль",IF(AND(N914&gt;0,O914&gt;0),O914,"Вне аренды"))))</f>
        <v/>
      </c>
      <c r="G914" s="12">
        <f>IF(ISNUMBER(F914),IFERROR(INDEX(Брони!$C$2:$C$500,MATCH(F914,Брони!$A$2:$A$500,0)),""),"")</f>
        <v/>
      </c>
      <c r="H914" s="10" t="n"/>
      <c r="I914" s="18" t="n"/>
      <c r="J914" s="12">
        <f>IF(AND(ISNUMBER(F914),I914&lt;&gt;""),IFERROR(IF(AND(INDEX(Брони!$F$2:$F$500,MATCH(F914,Брони!$A$2:$A$500,0))="Возвращена",I914&gt;INDEX(Брони!$E$2:$E$500,MATCH(F914,Брони!$A$2:$A$500,0))),"Да",""),""),"")</f>
        <v/>
      </c>
      <c r="K914" s="10" t="n"/>
      <c r="L914" s="14" t="n"/>
      <c r="M914" s="15">
        <f>IF(OR(A914="",B914=""),"",IF(AND(ISNUMBER(F914),H914&lt;&gt;"Компания"),D914+L914,0))</f>
        <v/>
      </c>
      <c r="N914" s="21">
        <f>SUMPRODUCT(MAX((Брони!$B$2:$B$500=B914)*((Брони!$F$2:$F$500="Выдана")+(Брони!$F$2:$F$500="Возвращена"))*(Брони!$D$2:$D$500&lt;=A914)*Брони!$D$2:$D$500))</f>
        <v/>
      </c>
      <c r="O914" s="19">
        <f>SUMPRODUCT((Брони!$B$2:$B$500=B914)*(Брони!$D$2:$D$500=N914)*((((Брони!$F$2:$F$500="Выдана")*NOW())+((Брони!$F$2:$F$500="Возвращена")*Брони!$E$2:$E$500))&gt;=A914)*Брони!$A$2:$A$500)</f>
        <v/>
      </c>
      <c r="P914" s="19">
        <f>SUMPRODUCT((Брони!$B$2:$B$500=B914)*(Брони!$D$2:$D$500=N914)*(((Брони!$F$2:$F$500="Выдана")+(Брони!$F$2:$F$500="Возвращена"))))</f>
        <v/>
      </c>
      <c r="Q914" s="10" t="n"/>
    </row>
    <row r="915">
      <c r="A915" s="11" t="n"/>
      <c r="B915" s="10" t="n"/>
      <c r="C915" s="10" t="n"/>
      <c r="D915" s="14" t="n"/>
      <c r="E915" s="10" t="n"/>
      <c r="F915" s="20">
        <f>IF(OR(A915="",B915=""),"",IF(OR(NOT(ISNUMBER(A915)),ISERROR(N915+O915+P915)),"Проверьте даты",IF(AND(N915&gt;0,P915&gt;1),"Дубль",IF(AND(N915&gt;0,O915&gt;0),O915,"Вне аренды"))))</f>
        <v/>
      </c>
      <c r="G915" s="12">
        <f>IF(ISNUMBER(F915),IFERROR(INDEX(Брони!$C$2:$C$500,MATCH(F915,Брони!$A$2:$A$500,0)),""),"")</f>
        <v/>
      </c>
      <c r="H915" s="10" t="n"/>
      <c r="I915" s="18" t="n"/>
      <c r="J915" s="12">
        <f>IF(AND(ISNUMBER(F915),I915&lt;&gt;""),IFERROR(IF(AND(INDEX(Брони!$F$2:$F$500,MATCH(F915,Брони!$A$2:$A$500,0))="Возвращена",I915&gt;INDEX(Брони!$E$2:$E$500,MATCH(F915,Брони!$A$2:$A$500,0))),"Да",""),""),"")</f>
        <v/>
      </c>
      <c r="K915" s="10" t="n"/>
      <c r="L915" s="14" t="n"/>
      <c r="M915" s="15">
        <f>IF(OR(A915="",B915=""),"",IF(AND(ISNUMBER(F915),H915&lt;&gt;"Компания"),D915+L915,0))</f>
        <v/>
      </c>
      <c r="N915" s="21">
        <f>SUMPRODUCT(MAX((Брони!$B$2:$B$500=B915)*((Брони!$F$2:$F$500="Выдана")+(Брони!$F$2:$F$500="Возвращена"))*(Брони!$D$2:$D$500&lt;=A915)*Брони!$D$2:$D$500))</f>
        <v/>
      </c>
      <c r="O915" s="19">
        <f>SUMPRODUCT((Брони!$B$2:$B$500=B915)*(Брони!$D$2:$D$500=N915)*((((Брони!$F$2:$F$500="Выдана")*NOW())+((Брони!$F$2:$F$500="Возвращена")*Брони!$E$2:$E$500))&gt;=A915)*Брони!$A$2:$A$500)</f>
        <v/>
      </c>
      <c r="P915" s="19">
        <f>SUMPRODUCT((Брони!$B$2:$B$500=B915)*(Брони!$D$2:$D$500=N915)*(((Брони!$F$2:$F$500="Выдана")+(Брони!$F$2:$F$500="Возвращена"))))</f>
        <v/>
      </c>
      <c r="Q915" s="10" t="n"/>
    </row>
    <row r="916">
      <c r="A916" s="11" t="n"/>
      <c r="B916" s="10" t="n"/>
      <c r="C916" s="10" t="n"/>
      <c r="D916" s="14" t="n"/>
      <c r="E916" s="10" t="n"/>
      <c r="F916" s="20">
        <f>IF(OR(A916="",B916=""),"",IF(OR(NOT(ISNUMBER(A916)),ISERROR(N916+O916+P916)),"Проверьте даты",IF(AND(N916&gt;0,P916&gt;1),"Дубль",IF(AND(N916&gt;0,O916&gt;0),O916,"Вне аренды"))))</f>
        <v/>
      </c>
      <c r="G916" s="12">
        <f>IF(ISNUMBER(F916),IFERROR(INDEX(Брони!$C$2:$C$500,MATCH(F916,Брони!$A$2:$A$500,0)),""),"")</f>
        <v/>
      </c>
      <c r="H916" s="10" t="n"/>
      <c r="I916" s="18" t="n"/>
      <c r="J916" s="12">
        <f>IF(AND(ISNUMBER(F916),I916&lt;&gt;""),IFERROR(IF(AND(INDEX(Брони!$F$2:$F$500,MATCH(F916,Брони!$A$2:$A$500,0))="Возвращена",I916&gt;INDEX(Брони!$E$2:$E$500,MATCH(F916,Брони!$A$2:$A$500,0))),"Да",""),""),"")</f>
        <v/>
      </c>
      <c r="K916" s="10" t="n"/>
      <c r="L916" s="14" t="n"/>
      <c r="M916" s="15">
        <f>IF(OR(A916="",B916=""),"",IF(AND(ISNUMBER(F916),H916&lt;&gt;"Компания"),D916+L916,0))</f>
        <v/>
      </c>
      <c r="N916" s="21">
        <f>SUMPRODUCT(MAX((Брони!$B$2:$B$500=B916)*((Брони!$F$2:$F$500="Выдана")+(Брони!$F$2:$F$500="Возвращена"))*(Брони!$D$2:$D$500&lt;=A916)*Брони!$D$2:$D$500))</f>
        <v/>
      </c>
      <c r="O916" s="19">
        <f>SUMPRODUCT((Брони!$B$2:$B$500=B916)*(Брони!$D$2:$D$500=N916)*((((Брони!$F$2:$F$500="Выдана")*NOW())+((Брони!$F$2:$F$500="Возвращена")*Брони!$E$2:$E$500))&gt;=A916)*Брони!$A$2:$A$500)</f>
        <v/>
      </c>
      <c r="P916" s="19">
        <f>SUMPRODUCT((Брони!$B$2:$B$500=B916)*(Брони!$D$2:$D$500=N916)*(((Брони!$F$2:$F$500="Выдана")+(Брони!$F$2:$F$500="Возвращена"))))</f>
        <v/>
      </c>
      <c r="Q916" s="10" t="n"/>
    </row>
    <row r="917">
      <c r="A917" s="11" t="n"/>
      <c r="B917" s="10" t="n"/>
      <c r="C917" s="10" t="n"/>
      <c r="D917" s="14" t="n"/>
      <c r="E917" s="10" t="n"/>
      <c r="F917" s="20">
        <f>IF(OR(A917="",B917=""),"",IF(OR(NOT(ISNUMBER(A917)),ISERROR(N917+O917+P917)),"Проверьте даты",IF(AND(N917&gt;0,P917&gt;1),"Дубль",IF(AND(N917&gt;0,O917&gt;0),O917,"Вне аренды"))))</f>
        <v/>
      </c>
      <c r="G917" s="12">
        <f>IF(ISNUMBER(F917),IFERROR(INDEX(Брони!$C$2:$C$500,MATCH(F917,Брони!$A$2:$A$500,0)),""),"")</f>
        <v/>
      </c>
      <c r="H917" s="10" t="n"/>
      <c r="I917" s="18" t="n"/>
      <c r="J917" s="12">
        <f>IF(AND(ISNUMBER(F917),I917&lt;&gt;""),IFERROR(IF(AND(INDEX(Брони!$F$2:$F$500,MATCH(F917,Брони!$A$2:$A$500,0))="Возвращена",I917&gt;INDEX(Брони!$E$2:$E$500,MATCH(F917,Брони!$A$2:$A$500,0))),"Да",""),""),"")</f>
        <v/>
      </c>
      <c r="K917" s="10" t="n"/>
      <c r="L917" s="14" t="n"/>
      <c r="M917" s="15">
        <f>IF(OR(A917="",B917=""),"",IF(AND(ISNUMBER(F917),H917&lt;&gt;"Компания"),D917+L917,0))</f>
        <v/>
      </c>
      <c r="N917" s="21">
        <f>SUMPRODUCT(MAX((Брони!$B$2:$B$500=B917)*((Брони!$F$2:$F$500="Выдана")+(Брони!$F$2:$F$500="Возвращена"))*(Брони!$D$2:$D$500&lt;=A917)*Брони!$D$2:$D$500))</f>
        <v/>
      </c>
      <c r="O917" s="19">
        <f>SUMPRODUCT((Брони!$B$2:$B$500=B917)*(Брони!$D$2:$D$500=N917)*((((Брони!$F$2:$F$500="Выдана")*NOW())+((Брони!$F$2:$F$500="Возвращена")*Брони!$E$2:$E$500))&gt;=A917)*Брони!$A$2:$A$500)</f>
        <v/>
      </c>
      <c r="P917" s="19">
        <f>SUMPRODUCT((Брони!$B$2:$B$500=B917)*(Брони!$D$2:$D$500=N917)*(((Брони!$F$2:$F$500="Выдана")+(Брони!$F$2:$F$500="Возвращена"))))</f>
        <v/>
      </c>
      <c r="Q917" s="10" t="n"/>
    </row>
    <row r="918">
      <c r="A918" s="11" t="n"/>
      <c r="B918" s="10" t="n"/>
      <c r="C918" s="10" t="n"/>
      <c r="D918" s="14" t="n"/>
      <c r="E918" s="10" t="n"/>
      <c r="F918" s="20">
        <f>IF(OR(A918="",B918=""),"",IF(OR(NOT(ISNUMBER(A918)),ISERROR(N918+O918+P918)),"Проверьте даты",IF(AND(N918&gt;0,P918&gt;1),"Дубль",IF(AND(N918&gt;0,O918&gt;0),O918,"Вне аренды"))))</f>
        <v/>
      </c>
      <c r="G918" s="12">
        <f>IF(ISNUMBER(F918),IFERROR(INDEX(Брони!$C$2:$C$500,MATCH(F918,Брони!$A$2:$A$500,0)),""),"")</f>
        <v/>
      </c>
      <c r="H918" s="10" t="n"/>
      <c r="I918" s="18" t="n"/>
      <c r="J918" s="12">
        <f>IF(AND(ISNUMBER(F918),I918&lt;&gt;""),IFERROR(IF(AND(INDEX(Брони!$F$2:$F$500,MATCH(F918,Брони!$A$2:$A$500,0))="Возвращена",I918&gt;INDEX(Брони!$E$2:$E$500,MATCH(F918,Брони!$A$2:$A$500,0))),"Да",""),""),"")</f>
        <v/>
      </c>
      <c r="K918" s="10" t="n"/>
      <c r="L918" s="14" t="n"/>
      <c r="M918" s="15">
        <f>IF(OR(A918="",B918=""),"",IF(AND(ISNUMBER(F918),H918&lt;&gt;"Компания"),D918+L918,0))</f>
        <v/>
      </c>
      <c r="N918" s="21">
        <f>SUMPRODUCT(MAX((Брони!$B$2:$B$500=B918)*((Брони!$F$2:$F$500="Выдана")+(Брони!$F$2:$F$500="Возвращена"))*(Брони!$D$2:$D$500&lt;=A918)*Брони!$D$2:$D$500))</f>
        <v/>
      </c>
      <c r="O918" s="19">
        <f>SUMPRODUCT((Брони!$B$2:$B$500=B918)*(Брони!$D$2:$D$500=N918)*((((Брони!$F$2:$F$500="Выдана")*NOW())+((Брони!$F$2:$F$500="Возвращена")*Брони!$E$2:$E$500))&gt;=A918)*Брони!$A$2:$A$500)</f>
        <v/>
      </c>
      <c r="P918" s="19">
        <f>SUMPRODUCT((Брони!$B$2:$B$500=B918)*(Брони!$D$2:$D$500=N918)*(((Брони!$F$2:$F$500="Выдана")+(Брони!$F$2:$F$500="Возвращена"))))</f>
        <v/>
      </c>
      <c r="Q918" s="10" t="n"/>
    </row>
    <row r="919">
      <c r="A919" s="11" t="n"/>
      <c r="B919" s="10" t="n"/>
      <c r="C919" s="10" t="n"/>
      <c r="D919" s="14" t="n"/>
      <c r="E919" s="10" t="n"/>
      <c r="F919" s="20">
        <f>IF(OR(A919="",B919=""),"",IF(OR(NOT(ISNUMBER(A919)),ISERROR(N919+O919+P919)),"Проверьте даты",IF(AND(N919&gt;0,P919&gt;1),"Дубль",IF(AND(N919&gt;0,O919&gt;0),O919,"Вне аренды"))))</f>
        <v/>
      </c>
      <c r="G919" s="12">
        <f>IF(ISNUMBER(F919),IFERROR(INDEX(Брони!$C$2:$C$500,MATCH(F919,Брони!$A$2:$A$500,0)),""),"")</f>
        <v/>
      </c>
      <c r="H919" s="10" t="n"/>
      <c r="I919" s="18" t="n"/>
      <c r="J919" s="12">
        <f>IF(AND(ISNUMBER(F919),I919&lt;&gt;""),IFERROR(IF(AND(INDEX(Брони!$F$2:$F$500,MATCH(F919,Брони!$A$2:$A$500,0))="Возвращена",I919&gt;INDEX(Брони!$E$2:$E$500,MATCH(F919,Брони!$A$2:$A$500,0))),"Да",""),""),"")</f>
        <v/>
      </c>
      <c r="K919" s="10" t="n"/>
      <c r="L919" s="14" t="n"/>
      <c r="M919" s="15">
        <f>IF(OR(A919="",B919=""),"",IF(AND(ISNUMBER(F919),H919&lt;&gt;"Компания"),D919+L919,0))</f>
        <v/>
      </c>
      <c r="N919" s="21">
        <f>SUMPRODUCT(MAX((Брони!$B$2:$B$500=B919)*((Брони!$F$2:$F$500="Выдана")+(Брони!$F$2:$F$500="Возвращена"))*(Брони!$D$2:$D$500&lt;=A919)*Брони!$D$2:$D$500))</f>
        <v/>
      </c>
      <c r="O919" s="19">
        <f>SUMPRODUCT((Брони!$B$2:$B$500=B919)*(Брони!$D$2:$D$500=N919)*((((Брони!$F$2:$F$500="Выдана")*NOW())+((Брони!$F$2:$F$500="Возвращена")*Брони!$E$2:$E$500))&gt;=A919)*Брони!$A$2:$A$500)</f>
        <v/>
      </c>
      <c r="P919" s="19">
        <f>SUMPRODUCT((Брони!$B$2:$B$500=B919)*(Брони!$D$2:$D$500=N919)*(((Брони!$F$2:$F$500="Выдана")+(Брони!$F$2:$F$500="Возвращена"))))</f>
        <v/>
      </c>
      <c r="Q919" s="10" t="n"/>
    </row>
    <row r="920">
      <c r="A920" s="11" t="n"/>
      <c r="B920" s="10" t="n"/>
      <c r="C920" s="10" t="n"/>
      <c r="D920" s="14" t="n"/>
      <c r="E920" s="10" t="n"/>
      <c r="F920" s="20">
        <f>IF(OR(A920="",B920=""),"",IF(OR(NOT(ISNUMBER(A920)),ISERROR(N920+O920+P920)),"Проверьте даты",IF(AND(N920&gt;0,P920&gt;1),"Дубль",IF(AND(N920&gt;0,O920&gt;0),O920,"Вне аренды"))))</f>
        <v/>
      </c>
      <c r="G920" s="12">
        <f>IF(ISNUMBER(F920),IFERROR(INDEX(Брони!$C$2:$C$500,MATCH(F920,Брони!$A$2:$A$500,0)),""),"")</f>
        <v/>
      </c>
      <c r="H920" s="10" t="n"/>
      <c r="I920" s="18" t="n"/>
      <c r="J920" s="12">
        <f>IF(AND(ISNUMBER(F920),I920&lt;&gt;""),IFERROR(IF(AND(INDEX(Брони!$F$2:$F$500,MATCH(F920,Брони!$A$2:$A$500,0))="Возвращена",I920&gt;INDEX(Брони!$E$2:$E$500,MATCH(F920,Брони!$A$2:$A$500,0))),"Да",""),""),"")</f>
        <v/>
      </c>
      <c r="K920" s="10" t="n"/>
      <c r="L920" s="14" t="n"/>
      <c r="M920" s="15">
        <f>IF(OR(A920="",B920=""),"",IF(AND(ISNUMBER(F920),H920&lt;&gt;"Компания"),D920+L920,0))</f>
        <v/>
      </c>
      <c r="N920" s="21">
        <f>SUMPRODUCT(MAX((Брони!$B$2:$B$500=B920)*((Брони!$F$2:$F$500="Выдана")+(Брони!$F$2:$F$500="Возвращена"))*(Брони!$D$2:$D$500&lt;=A920)*Брони!$D$2:$D$500))</f>
        <v/>
      </c>
      <c r="O920" s="19">
        <f>SUMPRODUCT((Брони!$B$2:$B$500=B920)*(Брони!$D$2:$D$500=N920)*((((Брони!$F$2:$F$500="Выдана")*NOW())+((Брони!$F$2:$F$500="Возвращена")*Брони!$E$2:$E$500))&gt;=A920)*Брони!$A$2:$A$500)</f>
        <v/>
      </c>
      <c r="P920" s="19">
        <f>SUMPRODUCT((Брони!$B$2:$B$500=B920)*(Брони!$D$2:$D$500=N920)*(((Брони!$F$2:$F$500="Выдана")+(Брони!$F$2:$F$500="Возвращена"))))</f>
        <v/>
      </c>
      <c r="Q920" s="10" t="n"/>
    </row>
    <row r="921">
      <c r="A921" s="11" t="n"/>
      <c r="B921" s="10" t="n"/>
      <c r="C921" s="10" t="n"/>
      <c r="D921" s="14" t="n"/>
      <c r="E921" s="10" t="n"/>
      <c r="F921" s="20">
        <f>IF(OR(A921="",B921=""),"",IF(OR(NOT(ISNUMBER(A921)),ISERROR(N921+O921+P921)),"Проверьте даты",IF(AND(N921&gt;0,P921&gt;1),"Дубль",IF(AND(N921&gt;0,O921&gt;0),O921,"Вне аренды"))))</f>
        <v/>
      </c>
      <c r="G921" s="12">
        <f>IF(ISNUMBER(F921),IFERROR(INDEX(Брони!$C$2:$C$500,MATCH(F921,Брони!$A$2:$A$500,0)),""),"")</f>
        <v/>
      </c>
      <c r="H921" s="10" t="n"/>
      <c r="I921" s="18" t="n"/>
      <c r="J921" s="12">
        <f>IF(AND(ISNUMBER(F921),I921&lt;&gt;""),IFERROR(IF(AND(INDEX(Брони!$F$2:$F$500,MATCH(F921,Брони!$A$2:$A$500,0))="Возвращена",I921&gt;INDEX(Брони!$E$2:$E$500,MATCH(F921,Брони!$A$2:$A$500,0))),"Да",""),""),"")</f>
        <v/>
      </c>
      <c r="K921" s="10" t="n"/>
      <c r="L921" s="14" t="n"/>
      <c r="M921" s="15">
        <f>IF(OR(A921="",B921=""),"",IF(AND(ISNUMBER(F921),H921&lt;&gt;"Компания"),D921+L921,0))</f>
        <v/>
      </c>
      <c r="N921" s="21">
        <f>SUMPRODUCT(MAX((Брони!$B$2:$B$500=B921)*((Брони!$F$2:$F$500="Выдана")+(Брони!$F$2:$F$500="Возвращена"))*(Брони!$D$2:$D$500&lt;=A921)*Брони!$D$2:$D$500))</f>
        <v/>
      </c>
      <c r="O921" s="19">
        <f>SUMPRODUCT((Брони!$B$2:$B$500=B921)*(Брони!$D$2:$D$500=N921)*((((Брони!$F$2:$F$500="Выдана")*NOW())+((Брони!$F$2:$F$500="Возвращена")*Брони!$E$2:$E$500))&gt;=A921)*Брони!$A$2:$A$500)</f>
        <v/>
      </c>
      <c r="P921" s="19">
        <f>SUMPRODUCT((Брони!$B$2:$B$500=B921)*(Брони!$D$2:$D$500=N921)*(((Брони!$F$2:$F$500="Выдана")+(Брони!$F$2:$F$500="Возвращена"))))</f>
        <v/>
      </c>
      <c r="Q921" s="10" t="n"/>
    </row>
    <row r="922">
      <c r="A922" s="11" t="n"/>
      <c r="B922" s="10" t="n"/>
      <c r="C922" s="10" t="n"/>
      <c r="D922" s="14" t="n"/>
      <c r="E922" s="10" t="n"/>
      <c r="F922" s="20">
        <f>IF(OR(A922="",B922=""),"",IF(OR(NOT(ISNUMBER(A922)),ISERROR(N922+O922+P922)),"Проверьте даты",IF(AND(N922&gt;0,P922&gt;1),"Дубль",IF(AND(N922&gt;0,O922&gt;0),O922,"Вне аренды"))))</f>
        <v/>
      </c>
      <c r="G922" s="12">
        <f>IF(ISNUMBER(F922),IFERROR(INDEX(Брони!$C$2:$C$500,MATCH(F922,Брони!$A$2:$A$500,0)),""),"")</f>
        <v/>
      </c>
      <c r="H922" s="10" t="n"/>
      <c r="I922" s="18" t="n"/>
      <c r="J922" s="12">
        <f>IF(AND(ISNUMBER(F922),I922&lt;&gt;""),IFERROR(IF(AND(INDEX(Брони!$F$2:$F$500,MATCH(F922,Брони!$A$2:$A$500,0))="Возвращена",I922&gt;INDEX(Брони!$E$2:$E$500,MATCH(F922,Брони!$A$2:$A$500,0))),"Да",""),""),"")</f>
        <v/>
      </c>
      <c r="K922" s="10" t="n"/>
      <c r="L922" s="14" t="n"/>
      <c r="M922" s="15">
        <f>IF(OR(A922="",B922=""),"",IF(AND(ISNUMBER(F922),H922&lt;&gt;"Компания"),D922+L922,0))</f>
        <v/>
      </c>
      <c r="N922" s="21">
        <f>SUMPRODUCT(MAX((Брони!$B$2:$B$500=B922)*((Брони!$F$2:$F$500="Выдана")+(Брони!$F$2:$F$500="Возвращена"))*(Брони!$D$2:$D$500&lt;=A922)*Брони!$D$2:$D$500))</f>
        <v/>
      </c>
      <c r="O922" s="19">
        <f>SUMPRODUCT((Брони!$B$2:$B$500=B922)*(Брони!$D$2:$D$500=N922)*((((Брони!$F$2:$F$500="Выдана")*NOW())+((Брони!$F$2:$F$500="Возвращена")*Брони!$E$2:$E$500))&gt;=A922)*Брони!$A$2:$A$500)</f>
        <v/>
      </c>
      <c r="P922" s="19">
        <f>SUMPRODUCT((Брони!$B$2:$B$500=B922)*(Брони!$D$2:$D$500=N922)*(((Брони!$F$2:$F$500="Выдана")+(Брони!$F$2:$F$500="Возвращена"))))</f>
        <v/>
      </c>
      <c r="Q922" s="10" t="n"/>
    </row>
    <row r="923">
      <c r="A923" s="11" t="n"/>
      <c r="B923" s="10" t="n"/>
      <c r="C923" s="10" t="n"/>
      <c r="D923" s="14" t="n"/>
      <c r="E923" s="10" t="n"/>
      <c r="F923" s="20">
        <f>IF(OR(A923="",B923=""),"",IF(OR(NOT(ISNUMBER(A923)),ISERROR(N923+O923+P923)),"Проверьте даты",IF(AND(N923&gt;0,P923&gt;1),"Дубль",IF(AND(N923&gt;0,O923&gt;0),O923,"Вне аренды"))))</f>
        <v/>
      </c>
      <c r="G923" s="12">
        <f>IF(ISNUMBER(F923),IFERROR(INDEX(Брони!$C$2:$C$500,MATCH(F923,Брони!$A$2:$A$500,0)),""),"")</f>
        <v/>
      </c>
      <c r="H923" s="10" t="n"/>
      <c r="I923" s="18" t="n"/>
      <c r="J923" s="12">
        <f>IF(AND(ISNUMBER(F923),I923&lt;&gt;""),IFERROR(IF(AND(INDEX(Брони!$F$2:$F$500,MATCH(F923,Брони!$A$2:$A$500,0))="Возвращена",I923&gt;INDEX(Брони!$E$2:$E$500,MATCH(F923,Брони!$A$2:$A$500,0))),"Да",""),""),"")</f>
        <v/>
      </c>
      <c r="K923" s="10" t="n"/>
      <c r="L923" s="14" t="n"/>
      <c r="M923" s="15">
        <f>IF(OR(A923="",B923=""),"",IF(AND(ISNUMBER(F923),H923&lt;&gt;"Компания"),D923+L923,0))</f>
        <v/>
      </c>
      <c r="N923" s="21">
        <f>SUMPRODUCT(MAX((Брони!$B$2:$B$500=B923)*((Брони!$F$2:$F$500="Выдана")+(Брони!$F$2:$F$500="Возвращена"))*(Брони!$D$2:$D$500&lt;=A923)*Брони!$D$2:$D$500))</f>
        <v/>
      </c>
      <c r="O923" s="19">
        <f>SUMPRODUCT((Брони!$B$2:$B$500=B923)*(Брони!$D$2:$D$500=N923)*((((Брони!$F$2:$F$500="Выдана")*NOW())+((Брони!$F$2:$F$500="Возвращена")*Брони!$E$2:$E$500))&gt;=A923)*Брони!$A$2:$A$500)</f>
        <v/>
      </c>
      <c r="P923" s="19">
        <f>SUMPRODUCT((Брони!$B$2:$B$500=B923)*(Брони!$D$2:$D$500=N923)*(((Брони!$F$2:$F$500="Выдана")+(Брони!$F$2:$F$500="Возвращена"))))</f>
        <v/>
      </c>
      <c r="Q923" s="10" t="n"/>
    </row>
    <row r="924">
      <c r="A924" s="11" t="n"/>
      <c r="B924" s="10" t="n"/>
      <c r="C924" s="10" t="n"/>
      <c r="D924" s="14" t="n"/>
      <c r="E924" s="10" t="n"/>
      <c r="F924" s="20">
        <f>IF(OR(A924="",B924=""),"",IF(OR(NOT(ISNUMBER(A924)),ISERROR(N924+O924+P924)),"Проверьте даты",IF(AND(N924&gt;0,P924&gt;1),"Дубль",IF(AND(N924&gt;0,O924&gt;0),O924,"Вне аренды"))))</f>
        <v/>
      </c>
      <c r="G924" s="12">
        <f>IF(ISNUMBER(F924),IFERROR(INDEX(Брони!$C$2:$C$500,MATCH(F924,Брони!$A$2:$A$500,0)),""),"")</f>
        <v/>
      </c>
      <c r="H924" s="10" t="n"/>
      <c r="I924" s="18" t="n"/>
      <c r="J924" s="12">
        <f>IF(AND(ISNUMBER(F924),I924&lt;&gt;""),IFERROR(IF(AND(INDEX(Брони!$F$2:$F$500,MATCH(F924,Брони!$A$2:$A$500,0))="Возвращена",I924&gt;INDEX(Брони!$E$2:$E$500,MATCH(F924,Брони!$A$2:$A$500,0))),"Да",""),""),"")</f>
        <v/>
      </c>
      <c r="K924" s="10" t="n"/>
      <c r="L924" s="14" t="n"/>
      <c r="M924" s="15">
        <f>IF(OR(A924="",B924=""),"",IF(AND(ISNUMBER(F924),H924&lt;&gt;"Компания"),D924+L924,0))</f>
        <v/>
      </c>
      <c r="N924" s="21">
        <f>SUMPRODUCT(MAX((Брони!$B$2:$B$500=B924)*((Брони!$F$2:$F$500="Выдана")+(Брони!$F$2:$F$500="Возвращена"))*(Брони!$D$2:$D$500&lt;=A924)*Брони!$D$2:$D$500))</f>
        <v/>
      </c>
      <c r="O924" s="19">
        <f>SUMPRODUCT((Брони!$B$2:$B$500=B924)*(Брони!$D$2:$D$500=N924)*((((Брони!$F$2:$F$500="Выдана")*NOW())+((Брони!$F$2:$F$500="Возвращена")*Брони!$E$2:$E$500))&gt;=A924)*Брони!$A$2:$A$500)</f>
        <v/>
      </c>
      <c r="P924" s="19">
        <f>SUMPRODUCT((Брони!$B$2:$B$500=B924)*(Брони!$D$2:$D$500=N924)*(((Брони!$F$2:$F$500="Выдана")+(Брони!$F$2:$F$500="Возвращена"))))</f>
        <v/>
      </c>
      <c r="Q924" s="10" t="n"/>
    </row>
    <row r="925">
      <c r="A925" s="11" t="n"/>
      <c r="B925" s="10" t="n"/>
      <c r="C925" s="10" t="n"/>
      <c r="D925" s="14" t="n"/>
      <c r="E925" s="10" t="n"/>
      <c r="F925" s="20">
        <f>IF(OR(A925="",B925=""),"",IF(OR(NOT(ISNUMBER(A925)),ISERROR(N925+O925+P925)),"Проверьте даты",IF(AND(N925&gt;0,P925&gt;1),"Дубль",IF(AND(N925&gt;0,O925&gt;0),O925,"Вне аренды"))))</f>
        <v/>
      </c>
      <c r="G925" s="12">
        <f>IF(ISNUMBER(F925),IFERROR(INDEX(Брони!$C$2:$C$500,MATCH(F925,Брони!$A$2:$A$500,0)),""),"")</f>
        <v/>
      </c>
      <c r="H925" s="10" t="n"/>
      <c r="I925" s="18" t="n"/>
      <c r="J925" s="12">
        <f>IF(AND(ISNUMBER(F925),I925&lt;&gt;""),IFERROR(IF(AND(INDEX(Брони!$F$2:$F$500,MATCH(F925,Брони!$A$2:$A$500,0))="Возвращена",I925&gt;INDEX(Брони!$E$2:$E$500,MATCH(F925,Брони!$A$2:$A$500,0))),"Да",""),""),"")</f>
        <v/>
      </c>
      <c r="K925" s="10" t="n"/>
      <c r="L925" s="14" t="n"/>
      <c r="M925" s="15">
        <f>IF(OR(A925="",B925=""),"",IF(AND(ISNUMBER(F925),H925&lt;&gt;"Компания"),D925+L925,0))</f>
        <v/>
      </c>
      <c r="N925" s="21">
        <f>SUMPRODUCT(MAX((Брони!$B$2:$B$500=B925)*((Брони!$F$2:$F$500="Выдана")+(Брони!$F$2:$F$500="Возвращена"))*(Брони!$D$2:$D$500&lt;=A925)*Брони!$D$2:$D$500))</f>
        <v/>
      </c>
      <c r="O925" s="19">
        <f>SUMPRODUCT((Брони!$B$2:$B$500=B925)*(Брони!$D$2:$D$500=N925)*((((Брони!$F$2:$F$500="Выдана")*NOW())+((Брони!$F$2:$F$500="Возвращена")*Брони!$E$2:$E$500))&gt;=A925)*Брони!$A$2:$A$500)</f>
        <v/>
      </c>
      <c r="P925" s="19">
        <f>SUMPRODUCT((Брони!$B$2:$B$500=B925)*(Брони!$D$2:$D$500=N925)*(((Брони!$F$2:$F$500="Выдана")+(Брони!$F$2:$F$500="Возвращена"))))</f>
        <v/>
      </c>
      <c r="Q925" s="10" t="n"/>
    </row>
    <row r="926">
      <c r="A926" s="11" t="n"/>
      <c r="B926" s="10" t="n"/>
      <c r="C926" s="10" t="n"/>
      <c r="D926" s="14" t="n"/>
      <c r="E926" s="10" t="n"/>
      <c r="F926" s="20">
        <f>IF(OR(A926="",B926=""),"",IF(OR(NOT(ISNUMBER(A926)),ISERROR(N926+O926+P926)),"Проверьте даты",IF(AND(N926&gt;0,P926&gt;1),"Дубль",IF(AND(N926&gt;0,O926&gt;0),O926,"Вне аренды"))))</f>
        <v/>
      </c>
      <c r="G926" s="12">
        <f>IF(ISNUMBER(F926),IFERROR(INDEX(Брони!$C$2:$C$500,MATCH(F926,Брони!$A$2:$A$500,0)),""),"")</f>
        <v/>
      </c>
      <c r="H926" s="10" t="n"/>
      <c r="I926" s="18" t="n"/>
      <c r="J926" s="12">
        <f>IF(AND(ISNUMBER(F926),I926&lt;&gt;""),IFERROR(IF(AND(INDEX(Брони!$F$2:$F$500,MATCH(F926,Брони!$A$2:$A$500,0))="Возвращена",I926&gt;INDEX(Брони!$E$2:$E$500,MATCH(F926,Брони!$A$2:$A$500,0))),"Да",""),""),"")</f>
        <v/>
      </c>
      <c r="K926" s="10" t="n"/>
      <c r="L926" s="14" t="n"/>
      <c r="M926" s="15">
        <f>IF(OR(A926="",B926=""),"",IF(AND(ISNUMBER(F926),H926&lt;&gt;"Компания"),D926+L926,0))</f>
        <v/>
      </c>
      <c r="N926" s="21">
        <f>SUMPRODUCT(MAX((Брони!$B$2:$B$500=B926)*((Брони!$F$2:$F$500="Выдана")+(Брони!$F$2:$F$500="Возвращена"))*(Брони!$D$2:$D$500&lt;=A926)*Брони!$D$2:$D$500))</f>
        <v/>
      </c>
      <c r="O926" s="19">
        <f>SUMPRODUCT((Брони!$B$2:$B$500=B926)*(Брони!$D$2:$D$500=N926)*((((Брони!$F$2:$F$500="Выдана")*NOW())+((Брони!$F$2:$F$500="Возвращена")*Брони!$E$2:$E$500))&gt;=A926)*Брони!$A$2:$A$500)</f>
        <v/>
      </c>
      <c r="P926" s="19">
        <f>SUMPRODUCT((Брони!$B$2:$B$500=B926)*(Брони!$D$2:$D$500=N926)*(((Брони!$F$2:$F$500="Выдана")+(Брони!$F$2:$F$500="Возвращена"))))</f>
        <v/>
      </c>
      <c r="Q926" s="10" t="n"/>
    </row>
    <row r="927">
      <c r="A927" s="11" t="n"/>
      <c r="B927" s="10" t="n"/>
      <c r="C927" s="10" t="n"/>
      <c r="D927" s="14" t="n"/>
      <c r="E927" s="10" t="n"/>
      <c r="F927" s="20">
        <f>IF(OR(A927="",B927=""),"",IF(OR(NOT(ISNUMBER(A927)),ISERROR(N927+O927+P927)),"Проверьте даты",IF(AND(N927&gt;0,P927&gt;1),"Дубль",IF(AND(N927&gt;0,O927&gt;0),O927,"Вне аренды"))))</f>
        <v/>
      </c>
      <c r="G927" s="12">
        <f>IF(ISNUMBER(F927),IFERROR(INDEX(Брони!$C$2:$C$500,MATCH(F927,Брони!$A$2:$A$500,0)),""),"")</f>
        <v/>
      </c>
      <c r="H927" s="10" t="n"/>
      <c r="I927" s="18" t="n"/>
      <c r="J927" s="12">
        <f>IF(AND(ISNUMBER(F927),I927&lt;&gt;""),IFERROR(IF(AND(INDEX(Брони!$F$2:$F$500,MATCH(F927,Брони!$A$2:$A$500,0))="Возвращена",I927&gt;INDEX(Брони!$E$2:$E$500,MATCH(F927,Брони!$A$2:$A$500,0))),"Да",""),""),"")</f>
        <v/>
      </c>
      <c r="K927" s="10" t="n"/>
      <c r="L927" s="14" t="n"/>
      <c r="M927" s="15">
        <f>IF(OR(A927="",B927=""),"",IF(AND(ISNUMBER(F927),H927&lt;&gt;"Компания"),D927+L927,0))</f>
        <v/>
      </c>
      <c r="N927" s="21">
        <f>SUMPRODUCT(MAX((Брони!$B$2:$B$500=B927)*((Брони!$F$2:$F$500="Выдана")+(Брони!$F$2:$F$500="Возвращена"))*(Брони!$D$2:$D$500&lt;=A927)*Брони!$D$2:$D$500))</f>
        <v/>
      </c>
      <c r="O927" s="19">
        <f>SUMPRODUCT((Брони!$B$2:$B$500=B927)*(Брони!$D$2:$D$500=N927)*((((Брони!$F$2:$F$500="Выдана")*NOW())+((Брони!$F$2:$F$500="Возвращена")*Брони!$E$2:$E$500))&gt;=A927)*Брони!$A$2:$A$500)</f>
        <v/>
      </c>
      <c r="P927" s="19">
        <f>SUMPRODUCT((Брони!$B$2:$B$500=B927)*(Брони!$D$2:$D$500=N927)*(((Брони!$F$2:$F$500="Выдана")+(Брони!$F$2:$F$500="Возвращена"))))</f>
        <v/>
      </c>
      <c r="Q927" s="10" t="n"/>
    </row>
    <row r="928">
      <c r="A928" s="11" t="n"/>
      <c r="B928" s="10" t="n"/>
      <c r="C928" s="10" t="n"/>
      <c r="D928" s="14" t="n"/>
      <c r="E928" s="10" t="n"/>
      <c r="F928" s="20">
        <f>IF(OR(A928="",B928=""),"",IF(OR(NOT(ISNUMBER(A928)),ISERROR(N928+O928+P928)),"Проверьте даты",IF(AND(N928&gt;0,P928&gt;1),"Дубль",IF(AND(N928&gt;0,O928&gt;0),O928,"Вне аренды"))))</f>
        <v/>
      </c>
      <c r="G928" s="12">
        <f>IF(ISNUMBER(F928),IFERROR(INDEX(Брони!$C$2:$C$500,MATCH(F928,Брони!$A$2:$A$500,0)),""),"")</f>
        <v/>
      </c>
      <c r="H928" s="10" t="n"/>
      <c r="I928" s="18" t="n"/>
      <c r="J928" s="12">
        <f>IF(AND(ISNUMBER(F928),I928&lt;&gt;""),IFERROR(IF(AND(INDEX(Брони!$F$2:$F$500,MATCH(F928,Брони!$A$2:$A$500,0))="Возвращена",I928&gt;INDEX(Брони!$E$2:$E$500,MATCH(F928,Брони!$A$2:$A$500,0))),"Да",""),""),"")</f>
        <v/>
      </c>
      <c r="K928" s="10" t="n"/>
      <c r="L928" s="14" t="n"/>
      <c r="M928" s="15">
        <f>IF(OR(A928="",B928=""),"",IF(AND(ISNUMBER(F928),H928&lt;&gt;"Компания"),D928+L928,0))</f>
        <v/>
      </c>
      <c r="N928" s="21">
        <f>SUMPRODUCT(MAX((Брони!$B$2:$B$500=B928)*((Брони!$F$2:$F$500="Выдана")+(Брони!$F$2:$F$500="Возвращена"))*(Брони!$D$2:$D$500&lt;=A928)*Брони!$D$2:$D$500))</f>
        <v/>
      </c>
      <c r="O928" s="19">
        <f>SUMPRODUCT((Брони!$B$2:$B$500=B928)*(Брони!$D$2:$D$500=N928)*((((Брони!$F$2:$F$500="Выдана")*NOW())+((Брони!$F$2:$F$500="Возвращена")*Брони!$E$2:$E$500))&gt;=A928)*Брони!$A$2:$A$500)</f>
        <v/>
      </c>
      <c r="P928" s="19">
        <f>SUMPRODUCT((Брони!$B$2:$B$500=B928)*(Брони!$D$2:$D$500=N928)*(((Брони!$F$2:$F$500="Выдана")+(Брони!$F$2:$F$500="Возвращена"))))</f>
        <v/>
      </c>
      <c r="Q928" s="10" t="n"/>
    </row>
    <row r="929">
      <c r="A929" s="11" t="n"/>
      <c r="B929" s="10" t="n"/>
      <c r="C929" s="10" t="n"/>
      <c r="D929" s="14" t="n"/>
      <c r="E929" s="10" t="n"/>
      <c r="F929" s="20">
        <f>IF(OR(A929="",B929=""),"",IF(OR(NOT(ISNUMBER(A929)),ISERROR(N929+O929+P929)),"Проверьте даты",IF(AND(N929&gt;0,P929&gt;1),"Дубль",IF(AND(N929&gt;0,O929&gt;0),O929,"Вне аренды"))))</f>
        <v/>
      </c>
      <c r="G929" s="12">
        <f>IF(ISNUMBER(F929),IFERROR(INDEX(Брони!$C$2:$C$500,MATCH(F929,Брони!$A$2:$A$500,0)),""),"")</f>
        <v/>
      </c>
      <c r="H929" s="10" t="n"/>
      <c r="I929" s="18" t="n"/>
      <c r="J929" s="12">
        <f>IF(AND(ISNUMBER(F929),I929&lt;&gt;""),IFERROR(IF(AND(INDEX(Брони!$F$2:$F$500,MATCH(F929,Брони!$A$2:$A$500,0))="Возвращена",I929&gt;INDEX(Брони!$E$2:$E$500,MATCH(F929,Брони!$A$2:$A$500,0))),"Да",""),""),"")</f>
        <v/>
      </c>
      <c r="K929" s="10" t="n"/>
      <c r="L929" s="14" t="n"/>
      <c r="M929" s="15">
        <f>IF(OR(A929="",B929=""),"",IF(AND(ISNUMBER(F929),H929&lt;&gt;"Компания"),D929+L929,0))</f>
        <v/>
      </c>
      <c r="N929" s="21">
        <f>SUMPRODUCT(MAX((Брони!$B$2:$B$500=B929)*((Брони!$F$2:$F$500="Выдана")+(Брони!$F$2:$F$500="Возвращена"))*(Брони!$D$2:$D$500&lt;=A929)*Брони!$D$2:$D$500))</f>
        <v/>
      </c>
      <c r="O929" s="19">
        <f>SUMPRODUCT((Брони!$B$2:$B$500=B929)*(Брони!$D$2:$D$500=N929)*((((Брони!$F$2:$F$500="Выдана")*NOW())+((Брони!$F$2:$F$500="Возвращена")*Брони!$E$2:$E$500))&gt;=A929)*Брони!$A$2:$A$500)</f>
        <v/>
      </c>
      <c r="P929" s="19">
        <f>SUMPRODUCT((Брони!$B$2:$B$500=B929)*(Брони!$D$2:$D$500=N929)*(((Брони!$F$2:$F$500="Выдана")+(Брони!$F$2:$F$500="Возвращена"))))</f>
        <v/>
      </c>
      <c r="Q929" s="10" t="n"/>
    </row>
    <row r="930">
      <c r="A930" s="11" t="n"/>
      <c r="B930" s="10" t="n"/>
      <c r="C930" s="10" t="n"/>
      <c r="D930" s="14" t="n"/>
      <c r="E930" s="10" t="n"/>
      <c r="F930" s="20">
        <f>IF(OR(A930="",B930=""),"",IF(OR(NOT(ISNUMBER(A930)),ISERROR(N930+O930+P930)),"Проверьте даты",IF(AND(N930&gt;0,P930&gt;1),"Дубль",IF(AND(N930&gt;0,O930&gt;0),O930,"Вне аренды"))))</f>
        <v/>
      </c>
      <c r="G930" s="12">
        <f>IF(ISNUMBER(F930),IFERROR(INDEX(Брони!$C$2:$C$500,MATCH(F930,Брони!$A$2:$A$500,0)),""),"")</f>
        <v/>
      </c>
      <c r="H930" s="10" t="n"/>
      <c r="I930" s="18" t="n"/>
      <c r="J930" s="12">
        <f>IF(AND(ISNUMBER(F930),I930&lt;&gt;""),IFERROR(IF(AND(INDEX(Брони!$F$2:$F$500,MATCH(F930,Брони!$A$2:$A$500,0))="Возвращена",I930&gt;INDEX(Брони!$E$2:$E$500,MATCH(F930,Брони!$A$2:$A$500,0))),"Да",""),""),"")</f>
        <v/>
      </c>
      <c r="K930" s="10" t="n"/>
      <c r="L930" s="14" t="n"/>
      <c r="M930" s="15">
        <f>IF(OR(A930="",B930=""),"",IF(AND(ISNUMBER(F930),H930&lt;&gt;"Компания"),D930+L930,0))</f>
        <v/>
      </c>
      <c r="N930" s="21">
        <f>SUMPRODUCT(MAX((Брони!$B$2:$B$500=B930)*((Брони!$F$2:$F$500="Выдана")+(Брони!$F$2:$F$500="Возвращена"))*(Брони!$D$2:$D$500&lt;=A930)*Брони!$D$2:$D$500))</f>
        <v/>
      </c>
      <c r="O930" s="19">
        <f>SUMPRODUCT((Брони!$B$2:$B$500=B930)*(Брони!$D$2:$D$500=N930)*((((Брони!$F$2:$F$500="Выдана")*NOW())+((Брони!$F$2:$F$500="Возвращена")*Брони!$E$2:$E$500))&gt;=A930)*Брони!$A$2:$A$500)</f>
        <v/>
      </c>
      <c r="P930" s="19">
        <f>SUMPRODUCT((Брони!$B$2:$B$500=B930)*(Брони!$D$2:$D$500=N930)*(((Брони!$F$2:$F$500="Выдана")+(Брони!$F$2:$F$500="Возвращена"))))</f>
        <v/>
      </c>
      <c r="Q930" s="10" t="n"/>
    </row>
    <row r="931">
      <c r="A931" s="11" t="n"/>
      <c r="B931" s="10" t="n"/>
      <c r="C931" s="10" t="n"/>
      <c r="D931" s="14" t="n"/>
      <c r="E931" s="10" t="n"/>
      <c r="F931" s="20">
        <f>IF(OR(A931="",B931=""),"",IF(OR(NOT(ISNUMBER(A931)),ISERROR(N931+O931+P931)),"Проверьте даты",IF(AND(N931&gt;0,P931&gt;1),"Дубль",IF(AND(N931&gt;0,O931&gt;0),O931,"Вне аренды"))))</f>
        <v/>
      </c>
      <c r="G931" s="12">
        <f>IF(ISNUMBER(F931),IFERROR(INDEX(Брони!$C$2:$C$500,MATCH(F931,Брони!$A$2:$A$500,0)),""),"")</f>
        <v/>
      </c>
      <c r="H931" s="10" t="n"/>
      <c r="I931" s="18" t="n"/>
      <c r="J931" s="12">
        <f>IF(AND(ISNUMBER(F931),I931&lt;&gt;""),IFERROR(IF(AND(INDEX(Брони!$F$2:$F$500,MATCH(F931,Брони!$A$2:$A$500,0))="Возвращена",I931&gt;INDEX(Брони!$E$2:$E$500,MATCH(F931,Брони!$A$2:$A$500,0))),"Да",""),""),"")</f>
        <v/>
      </c>
      <c r="K931" s="10" t="n"/>
      <c r="L931" s="14" t="n"/>
      <c r="M931" s="15">
        <f>IF(OR(A931="",B931=""),"",IF(AND(ISNUMBER(F931),H931&lt;&gt;"Компания"),D931+L931,0))</f>
        <v/>
      </c>
      <c r="N931" s="21">
        <f>SUMPRODUCT(MAX((Брони!$B$2:$B$500=B931)*((Брони!$F$2:$F$500="Выдана")+(Брони!$F$2:$F$500="Возвращена"))*(Брони!$D$2:$D$500&lt;=A931)*Брони!$D$2:$D$500))</f>
        <v/>
      </c>
      <c r="O931" s="19">
        <f>SUMPRODUCT((Брони!$B$2:$B$500=B931)*(Брони!$D$2:$D$500=N931)*((((Брони!$F$2:$F$500="Выдана")*NOW())+((Брони!$F$2:$F$500="Возвращена")*Брони!$E$2:$E$500))&gt;=A931)*Брони!$A$2:$A$500)</f>
        <v/>
      </c>
      <c r="P931" s="19">
        <f>SUMPRODUCT((Брони!$B$2:$B$500=B931)*(Брони!$D$2:$D$500=N931)*(((Брони!$F$2:$F$500="Выдана")+(Брони!$F$2:$F$500="Возвращена"))))</f>
        <v/>
      </c>
      <c r="Q931" s="10" t="n"/>
    </row>
    <row r="932">
      <c r="A932" s="11" t="n"/>
      <c r="B932" s="10" t="n"/>
      <c r="C932" s="10" t="n"/>
      <c r="D932" s="14" t="n"/>
      <c r="E932" s="10" t="n"/>
      <c r="F932" s="20">
        <f>IF(OR(A932="",B932=""),"",IF(OR(NOT(ISNUMBER(A932)),ISERROR(N932+O932+P932)),"Проверьте даты",IF(AND(N932&gt;0,P932&gt;1),"Дубль",IF(AND(N932&gt;0,O932&gt;0),O932,"Вне аренды"))))</f>
        <v/>
      </c>
      <c r="G932" s="12">
        <f>IF(ISNUMBER(F932),IFERROR(INDEX(Брони!$C$2:$C$500,MATCH(F932,Брони!$A$2:$A$500,0)),""),"")</f>
        <v/>
      </c>
      <c r="H932" s="10" t="n"/>
      <c r="I932" s="18" t="n"/>
      <c r="J932" s="12">
        <f>IF(AND(ISNUMBER(F932),I932&lt;&gt;""),IFERROR(IF(AND(INDEX(Брони!$F$2:$F$500,MATCH(F932,Брони!$A$2:$A$500,0))="Возвращена",I932&gt;INDEX(Брони!$E$2:$E$500,MATCH(F932,Брони!$A$2:$A$500,0))),"Да",""),""),"")</f>
        <v/>
      </c>
      <c r="K932" s="10" t="n"/>
      <c r="L932" s="14" t="n"/>
      <c r="M932" s="15">
        <f>IF(OR(A932="",B932=""),"",IF(AND(ISNUMBER(F932),H932&lt;&gt;"Компания"),D932+L932,0))</f>
        <v/>
      </c>
      <c r="N932" s="21">
        <f>SUMPRODUCT(MAX((Брони!$B$2:$B$500=B932)*((Брони!$F$2:$F$500="Выдана")+(Брони!$F$2:$F$500="Возвращена"))*(Брони!$D$2:$D$500&lt;=A932)*Брони!$D$2:$D$500))</f>
        <v/>
      </c>
      <c r="O932" s="19">
        <f>SUMPRODUCT((Брони!$B$2:$B$500=B932)*(Брони!$D$2:$D$500=N932)*((((Брони!$F$2:$F$500="Выдана")*NOW())+((Брони!$F$2:$F$500="Возвращена")*Брони!$E$2:$E$500))&gt;=A932)*Брони!$A$2:$A$500)</f>
        <v/>
      </c>
      <c r="P932" s="19">
        <f>SUMPRODUCT((Брони!$B$2:$B$500=B932)*(Брони!$D$2:$D$500=N932)*(((Брони!$F$2:$F$500="Выдана")+(Брони!$F$2:$F$500="Возвращена"))))</f>
        <v/>
      </c>
      <c r="Q932" s="10" t="n"/>
    </row>
    <row r="933">
      <c r="A933" s="11" t="n"/>
      <c r="B933" s="10" t="n"/>
      <c r="C933" s="10" t="n"/>
      <c r="D933" s="14" t="n"/>
      <c r="E933" s="10" t="n"/>
      <c r="F933" s="20">
        <f>IF(OR(A933="",B933=""),"",IF(OR(NOT(ISNUMBER(A933)),ISERROR(N933+O933+P933)),"Проверьте даты",IF(AND(N933&gt;0,P933&gt;1),"Дубль",IF(AND(N933&gt;0,O933&gt;0),O933,"Вне аренды"))))</f>
        <v/>
      </c>
      <c r="G933" s="12">
        <f>IF(ISNUMBER(F933),IFERROR(INDEX(Брони!$C$2:$C$500,MATCH(F933,Брони!$A$2:$A$500,0)),""),"")</f>
        <v/>
      </c>
      <c r="H933" s="10" t="n"/>
      <c r="I933" s="18" t="n"/>
      <c r="J933" s="12">
        <f>IF(AND(ISNUMBER(F933),I933&lt;&gt;""),IFERROR(IF(AND(INDEX(Брони!$F$2:$F$500,MATCH(F933,Брони!$A$2:$A$500,0))="Возвращена",I933&gt;INDEX(Брони!$E$2:$E$500,MATCH(F933,Брони!$A$2:$A$500,0))),"Да",""),""),"")</f>
        <v/>
      </c>
      <c r="K933" s="10" t="n"/>
      <c r="L933" s="14" t="n"/>
      <c r="M933" s="15">
        <f>IF(OR(A933="",B933=""),"",IF(AND(ISNUMBER(F933),H933&lt;&gt;"Компания"),D933+L933,0))</f>
        <v/>
      </c>
      <c r="N933" s="21">
        <f>SUMPRODUCT(MAX((Брони!$B$2:$B$500=B933)*((Брони!$F$2:$F$500="Выдана")+(Брони!$F$2:$F$500="Возвращена"))*(Брони!$D$2:$D$500&lt;=A933)*Брони!$D$2:$D$500))</f>
        <v/>
      </c>
      <c r="O933" s="19">
        <f>SUMPRODUCT((Брони!$B$2:$B$500=B933)*(Брони!$D$2:$D$500=N933)*((((Брони!$F$2:$F$500="Выдана")*NOW())+((Брони!$F$2:$F$500="Возвращена")*Брони!$E$2:$E$500))&gt;=A933)*Брони!$A$2:$A$500)</f>
        <v/>
      </c>
      <c r="P933" s="19">
        <f>SUMPRODUCT((Брони!$B$2:$B$500=B933)*(Брони!$D$2:$D$500=N933)*(((Брони!$F$2:$F$500="Выдана")+(Брони!$F$2:$F$500="Возвращена"))))</f>
        <v/>
      </c>
      <c r="Q933" s="10" t="n"/>
    </row>
    <row r="934">
      <c r="A934" s="11" t="n"/>
      <c r="B934" s="10" t="n"/>
      <c r="C934" s="10" t="n"/>
      <c r="D934" s="14" t="n"/>
      <c r="E934" s="10" t="n"/>
      <c r="F934" s="20">
        <f>IF(OR(A934="",B934=""),"",IF(OR(NOT(ISNUMBER(A934)),ISERROR(N934+O934+P934)),"Проверьте даты",IF(AND(N934&gt;0,P934&gt;1),"Дубль",IF(AND(N934&gt;0,O934&gt;0),O934,"Вне аренды"))))</f>
        <v/>
      </c>
      <c r="G934" s="12">
        <f>IF(ISNUMBER(F934),IFERROR(INDEX(Брони!$C$2:$C$500,MATCH(F934,Брони!$A$2:$A$500,0)),""),"")</f>
        <v/>
      </c>
      <c r="H934" s="10" t="n"/>
      <c r="I934" s="18" t="n"/>
      <c r="J934" s="12">
        <f>IF(AND(ISNUMBER(F934),I934&lt;&gt;""),IFERROR(IF(AND(INDEX(Брони!$F$2:$F$500,MATCH(F934,Брони!$A$2:$A$500,0))="Возвращена",I934&gt;INDEX(Брони!$E$2:$E$500,MATCH(F934,Брони!$A$2:$A$500,0))),"Да",""),""),"")</f>
        <v/>
      </c>
      <c r="K934" s="10" t="n"/>
      <c r="L934" s="14" t="n"/>
      <c r="M934" s="15">
        <f>IF(OR(A934="",B934=""),"",IF(AND(ISNUMBER(F934),H934&lt;&gt;"Компания"),D934+L934,0))</f>
        <v/>
      </c>
      <c r="N934" s="21">
        <f>SUMPRODUCT(MAX((Брони!$B$2:$B$500=B934)*((Брони!$F$2:$F$500="Выдана")+(Брони!$F$2:$F$500="Возвращена"))*(Брони!$D$2:$D$500&lt;=A934)*Брони!$D$2:$D$500))</f>
        <v/>
      </c>
      <c r="O934" s="19">
        <f>SUMPRODUCT((Брони!$B$2:$B$500=B934)*(Брони!$D$2:$D$500=N934)*((((Брони!$F$2:$F$500="Выдана")*NOW())+((Брони!$F$2:$F$500="Возвращена")*Брони!$E$2:$E$500))&gt;=A934)*Брони!$A$2:$A$500)</f>
        <v/>
      </c>
      <c r="P934" s="19">
        <f>SUMPRODUCT((Брони!$B$2:$B$500=B934)*(Брони!$D$2:$D$500=N934)*(((Брони!$F$2:$F$500="Выдана")+(Брони!$F$2:$F$500="Возвращена"))))</f>
        <v/>
      </c>
      <c r="Q934" s="10" t="n"/>
    </row>
    <row r="935">
      <c r="A935" s="11" t="n"/>
      <c r="B935" s="10" t="n"/>
      <c r="C935" s="10" t="n"/>
      <c r="D935" s="14" t="n"/>
      <c r="E935" s="10" t="n"/>
      <c r="F935" s="20">
        <f>IF(OR(A935="",B935=""),"",IF(OR(NOT(ISNUMBER(A935)),ISERROR(N935+O935+P935)),"Проверьте даты",IF(AND(N935&gt;0,P935&gt;1),"Дубль",IF(AND(N935&gt;0,O935&gt;0),O935,"Вне аренды"))))</f>
        <v/>
      </c>
      <c r="G935" s="12">
        <f>IF(ISNUMBER(F935),IFERROR(INDEX(Брони!$C$2:$C$500,MATCH(F935,Брони!$A$2:$A$500,0)),""),"")</f>
        <v/>
      </c>
      <c r="H935" s="10" t="n"/>
      <c r="I935" s="18" t="n"/>
      <c r="J935" s="12">
        <f>IF(AND(ISNUMBER(F935),I935&lt;&gt;""),IFERROR(IF(AND(INDEX(Брони!$F$2:$F$500,MATCH(F935,Брони!$A$2:$A$500,0))="Возвращена",I935&gt;INDEX(Брони!$E$2:$E$500,MATCH(F935,Брони!$A$2:$A$500,0))),"Да",""),""),"")</f>
        <v/>
      </c>
      <c r="K935" s="10" t="n"/>
      <c r="L935" s="14" t="n"/>
      <c r="M935" s="15">
        <f>IF(OR(A935="",B935=""),"",IF(AND(ISNUMBER(F935),H935&lt;&gt;"Компания"),D935+L935,0))</f>
        <v/>
      </c>
      <c r="N935" s="21">
        <f>SUMPRODUCT(MAX((Брони!$B$2:$B$500=B935)*((Брони!$F$2:$F$500="Выдана")+(Брони!$F$2:$F$500="Возвращена"))*(Брони!$D$2:$D$500&lt;=A935)*Брони!$D$2:$D$500))</f>
        <v/>
      </c>
      <c r="O935" s="19">
        <f>SUMPRODUCT((Брони!$B$2:$B$500=B935)*(Брони!$D$2:$D$500=N935)*((((Брони!$F$2:$F$500="Выдана")*NOW())+((Брони!$F$2:$F$500="Возвращена")*Брони!$E$2:$E$500))&gt;=A935)*Брони!$A$2:$A$500)</f>
        <v/>
      </c>
      <c r="P935" s="19">
        <f>SUMPRODUCT((Брони!$B$2:$B$500=B935)*(Брони!$D$2:$D$500=N935)*(((Брони!$F$2:$F$500="Выдана")+(Брони!$F$2:$F$500="Возвращена"))))</f>
        <v/>
      </c>
      <c r="Q935" s="10" t="n"/>
    </row>
    <row r="936">
      <c r="A936" s="11" t="n"/>
      <c r="B936" s="10" t="n"/>
      <c r="C936" s="10" t="n"/>
      <c r="D936" s="14" t="n"/>
      <c r="E936" s="10" t="n"/>
      <c r="F936" s="20">
        <f>IF(OR(A936="",B936=""),"",IF(OR(NOT(ISNUMBER(A936)),ISERROR(N936+O936+P936)),"Проверьте даты",IF(AND(N936&gt;0,P936&gt;1),"Дубль",IF(AND(N936&gt;0,O936&gt;0),O936,"Вне аренды"))))</f>
        <v/>
      </c>
      <c r="G936" s="12">
        <f>IF(ISNUMBER(F936),IFERROR(INDEX(Брони!$C$2:$C$500,MATCH(F936,Брони!$A$2:$A$500,0)),""),"")</f>
        <v/>
      </c>
      <c r="H936" s="10" t="n"/>
      <c r="I936" s="18" t="n"/>
      <c r="J936" s="12">
        <f>IF(AND(ISNUMBER(F936),I936&lt;&gt;""),IFERROR(IF(AND(INDEX(Брони!$F$2:$F$500,MATCH(F936,Брони!$A$2:$A$500,0))="Возвращена",I936&gt;INDEX(Брони!$E$2:$E$500,MATCH(F936,Брони!$A$2:$A$500,0))),"Да",""),""),"")</f>
        <v/>
      </c>
      <c r="K936" s="10" t="n"/>
      <c r="L936" s="14" t="n"/>
      <c r="M936" s="15">
        <f>IF(OR(A936="",B936=""),"",IF(AND(ISNUMBER(F936),H936&lt;&gt;"Компания"),D936+L936,0))</f>
        <v/>
      </c>
      <c r="N936" s="21">
        <f>SUMPRODUCT(MAX((Брони!$B$2:$B$500=B936)*((Брони!$F$2:$F$500="Выдана")+(Брони!$F$2:$F$500="Возвращена"))*(Брони!$D$2:$D$500&lt;=A936)*Брони!$D$2:$D$500))</f>
        <v/>
      </c>
      <c r="O936" s="19">
        <f>SUMPRODUCT((Брони!$B$2:$B$500=B936)*(Брони!$D$2:$D$500=N936)*((((Брони!$F$2:$F$500="Выдана")*NOW())+((Брони!$F$2:$F$500="Возвращена")*Брони!$E$2:$E$500))&gt;=A936)*Брони!$A$2:$A$500)</f>
        <v/>
      </c>
      <c r="P936" s="19">
        <f>SUMPRODUCT((Брони!$B$2:$B$500=B936)*(Брони!$D$2:$D$500=N936)*(((Брони!$F$2:$F$500="Выдана")+(Брони!$F$2:$F$500="Возвращена"))))</f>
        <v/>
      </c>
      <c r="Q936" s="10" t="n"/>
    </row>
    <row r="937">
      <c r="A937" s="11" t="n"/>
      <c r="B937" s="10" t="n"/>
      <c r="C937" s="10" t="n"/>
      <c r="D937" s="14" t="n"/>
      <c r="E937" s="10" t="n"/>
      <c r="F937" s="20">
        <f>IF(OR(A937="",B937=""),"",IF(OR(NOT(ISNUMBER(A937)),ISERROR(N937+O937+P937)),"Проверьте даты",IF(AND(N937&gt;0,P937&gt;1),"Дубль",IF(AND(N937&gt;0,O937&gt;0),O937,"Вне аренды"))))</f>
        <v/>
      </c>
      <c r="G937" s="12">
        <f>IF(ISNUMBER(F937),IFERROR(INDEX(Брони!$C$2:$C$500,MATCH(F937,Брони!$A$2:$A$500,0)),""),"")</f>
        <v/>
      </c>
      <c r="H937" s="10" t="n"/>
      <c r="I937" s="18" t="n"/>
      <c r="J937" s="12">
        <f>IF(AND(ISNUMBER(F937),I937&lt;&gt;""),IFERROR(IF(AND(INDEX(Брони!$F$2:$F$500,MATCH(F937,Брони!$A$2:$A$500,0))="Возвращена",I937&gt;INDEX(Брони!$E$2:$E$500,MATCH(F937,Брони!$A$2:$A$500,0))),"Да",""),""),"")</f>
        <v/>
      </c>
      <c r="K937" s="10" t="n"/>
      <c r="L937" s="14" t="n"/>
      <c r="M937" s="15">
        <f>IF(OR(A937="",B937=""),"",IF(AND(ISNUMBER(F937),H937&lt;&gt;"Компания"),D937+L937,0))</f>
        <v/>
      </c>
      <c r="N937" s="21">
        <f>SUMPRODUCT(MAX((Брони!$B$2:$B$500=B937)*((Брони!$F$2:$F$500="Выдана")+(Брони!$F$2:$F$500="Возвращена"))*(Брони!$D$2:$D$500&lt;=A937)*Брони!$D$2:$D$500))</f>
        <v/>
      </c>
      <c r="O937" s="19">
        <f>SUMPRODUCT((Брони!$B$2:$B$500=B937)*(Брони!$D$2:$D$500=N937)*((((Брони!$F$2:$F$500="Выдана")*NOW())+((Брони!$F$2:$F$500="Возвращена")*Брони!$E$2:$E$500))&gt;=A937)*Брони!$A$2:$A$500)</f>
        <v/>
      </c>
      <c r="P937" s="19">
        <f>SUMPRODUCT((Брони!$B$2:$B$500=B937)*(Брони!$D$2:$D$500=N937)*(((Брони!$F$2:$F$500="Выдана")+(Брони!$F$2:$F$500="Возвращена"))))</f>
        <v/>
      </c>
      <c r="Q937" s="10" t="n"/>
    </row>
    <row r="938">
      <c r="A938" s="11" t="n"/>
      <c r="B938" s="10" t="n"/>
      <c r="C938" s="10" t="n"/>
      <c r="D938" s="14" t="n"/>
      <c r="E938" s="10" t="n"/>
      <c r="F938" s="20">
        <f>IF(OR(A938="",B938=""),"",IF(OR(NOT(ISNUMBER(A938)),ISERROR(N938+O938+P938)),"Проверьте даты",IF(AND(N938&gt;0,P938&gt;1),"Дубль",IF(AND(N938&gt;0,O938&gt;0),O938,"Вне аренды"))))</f>
        <v/>
      </c>
      <c r="G938" s="12">
        <f>IF(ISNUMBER(F938),IFERROR(INDEX(Брони!$C$2:$C$500,MATCH(F938,Брони!$A$2:$A$500,0)),""),"")</f>
        <v/>
      </c>
      <c r="H938" s="10" t="n"/>
      <c r="I938" s="18" t="n"/>
      <c r="J938" s="12">
        <f>IF(AND(ISNUMBER(F938),I938&lt;&gt;""),IFERROR(IF(AND(INDEX(Брони!$F$2:$F$500,MATCH(F938,Брони!$A$2:$A$500,0))="Возвращена",I938&gt;INDEX(Брони!$E$2:$E$500,MATCH(F938,Брони!$A$2:$A$500,0))),"Да",""),""),"")</f>
        <v/>
      </c>
      <c r="K938" s="10" t="n"/>
      <c r="L938" s="14" t="n"/>
      <c r="M938" s="15">
        <f>IF(OR(A938="",B938=""),"",IF(AND(ISNUMBER(F938),H938&lt;&gt;"Компания"),D938+L938,0))</f>
        <v/>
      </c>
      <c r="N938" s="21">
        <f>SUMPRODUCT(MAX((Брони!$B$2:$B$500=B938)*((Брони!$F$2:$F$500="Выдана")+(Брони!$F$2:$F$500="Возвращена"))*(Брони!$D$2:$D$500&lt;=A938)*Брони!$D$2:$D$500))</f>
        <v/>
      </c>
      <c r="O938" s="19">
        <f>SUMPRODUCT((Брони!$B$2:$B$500=B938)*(Брони!$D$2:$D$500=N938)*((((Брони!$F$2:$F$500="Выдана")*NOW())+((Брони!$F$2:$F$500="Возвращена")*Брони!$E$2:$E$500))&gt;=A938)*Брони!$A$2:$A$500)</f>
        <v/>
      </c>
      <c r="P938" s="19">
        <f>SUMPRODUCT((Брони!$B$2:$B$500=B938)*(Брони!$D$2:$D$500=N938)*(((Брони!$F$2:$F$500="Выдана")+(Брони!$F$2:$F$500="Возвращена"))))</f>
        <v/>
      </c>
      <c r="Q938" s="10" t="n"/>
    </row>
    <row r="939">
      <c r="A939" s="11" t="n"/>
      <c r="B939" s="10" t="n"/>
      <c r="C939" s="10" t="n"/>
      <c r="D939" s="14" t="n"/>
      <c r="E939" s="10" t="n"/>
      <c r="F939" s="20">
        <f>IF(OR(A939="",B939=""),"",IF(OR(NOT(ISNUMBER(A939)),ISERROR(N939+O939+P939)),"Проверьте даты",IF(AND(N939&gt;0,P939&gt;1),"Дубль",IF(AND(N939&gt;0,O939&gt;0),O939,"Вне аренды"))))</f>
        <v/>
      </c>
      <c r="G939" s="12">
        <f>IF(ISNUMBER(F939),IFERROR(INDEX(Брони!$C$2:$C$500,MATCH(F939,Брони!$A$2:$A$500,0)),""),"")</f>
        <v/>
      </c>
      <c r="H939" s="10" t="n"/>
      <c r="I939" s="18" t="n"/>
      <c r="J939" s="12">
        <f>IF(AND(ISNUMBER(F939),I939&lt;&gt;""),IFERROR(IF(AND(INDEX(Брони!$F$2:$F$500,MATCH(F939,Брони!$A$2:$A$500,0))="Возвращена",I939&gt;INDEX(Брони!$E$2:$E$500,MATCH(F939,Брони!$A$2:$A$500,0))),"Да",""),""),"")</f>
        <v/>
      </c>
      <c r="K939" s="10" t="n"/>
      <c r="L939" s="14" t="n"/>
      <c r="M939" s="15">
        <f>IF(OR(A939="",B939=""),"",IF(AND(ISNUMBER(F939),H939&lt;&gt;"Компания"),D939+L939,0))</f>
        <v/>
      </c>
      <c r="N939" s="21">
        <f>SUMPRODUCT(MAX((Брони!$B$2:$B$500=B939)*((Брони!$F$2:$F$500="Выдана")+(Брони!$F$2:$F$500="Возвращена"))*(Брони!$D$2:$D$500&lt;=A939)*Брони!$D$2:$D$500))</f>
        <v/>
      </c>
      <c r="O939" s="19">
        <f>SUMPRODUCT((Брони!$B$2:$B$500=B939)*(Брони!$D$2:$D$500=N939)*((((Брони!$F$2:$F$500="Выдана")*NOW())+((Брони!$F$2:$F$500="Возвращена")*Брони!$E$2:$E$500))&gt;=A939)*Брони!$A$2:$A$500)</f>
        <v/>
      </c>
      <c r="P939" s="19">
        <f>SUMPRODUCT((Брони!$B$2:$B$500=B939)*(Брони!$D$2:$D$500=N939)*(((Брони!$F$2:$F$500="Выдана")+(Брони!$F$2:$F$500="Возвращена"))))</f>
        <v/>
      </c>
      <c r="Q939" s="10" t="n"/>
    </row>
    <row r="940">
      <c r="A940" s="11" t="n"/>
      <c r="B940" s="10" t="n"/>
      <c r="C940" s="10" t="n"/>
      <c r="D940" s="14" t="n"/>
      <c r="E940" s="10" t="n"/>
      <c r="F940" s="20">
        <f>IF(OR(A940="",B940=""),"",IF(OR(NOT(ISNUMBER(A940)),ISERROR(N940+O940+P940)),"Проверьте даты",IF(AND(N940&gt;0,P940&gt;1),"Дубль",IF(AND(N940&gt;0,O940&gt;0),O940,"Вне аренды"))))</f>
        <v/>
      </c>
      <c r="G940" s="12">
        <f>IF(ISNUMBER(F940),IFERROR(INDEX(Брони!$C$2:$C$500,MATCH(F940,Брони!$A$2:$A$500,0)),""),"")</f>
        <v/>
      </c>
      <c r="H940" s="10" t="n"/>
      <c r="I940" s="18" t="n"/>
      <c r="J940" s="12">
        <f>IF(AND(ISNUMBER(F940),I940&lt;&gt;""),IFERROR(IF(AND(INDEX(Брони!$F$2:$F$500,MATCH(F940,Брони!$A$2:$A$500,0))="Возвращена",I940&gt;INDEX(Брони!$E$2:$E$500,MATCH(F940,Брони!$A$2:$A$500,0))),"Да",""),""),"")</f>
        <v/>
      </c>
      <c r="K940" s="10" t="n"/>
      <c r="L940" s="14" t="n"/>
      <c r="M940" s="15">
        <f>IF(OR(A940="",B940=""),"",IF(AND(ISNUMBER(F940),H940&lt;&gt;"Компания"),D940+L940,0))</f>
        <v/>
      </c>
      <c r="N940" s="21">
        <f>SUMPRODUCT(MAX((Брони!$B$2:$B$500=B940)*((Брони!$F$2:$F$500="Выдана")+(Брони!$F$2:$F$500="Возвращена"))*(Брони!$D$2:$D$500&lt;=A940)*Брони!$D$2:$D$500))</f>
        <v/>
      </c>
      <c r="O940" s="19">
        <f>SUMPRODUCT((Брони!$B$2:$B$500=B940)*(Брони!$D$2:$D$500=N940)*((((Брони!$F$2:$F$500="Выдана")*NOW())+((Брони!$F$2:$F$500="Возвращена")*Брони!$E$2:$E$500))&gt;=A940)*Брони!$A$2:$A$500)</f>
        <v/>
      </c>
      <c r="P940" s="19">
        <f>SUMPRODUCT((Брони!$B$2:$B$500=B940)*(Брони!$D$2:$D$500=N940)*(((Брони!$F$2:$F$500="Выдана")+(Брони!$F$2:$F$500="Возвращена"))))</f>
        <v/>
      </c>
      <c r="Q940" s="10" t="n"/>
    </row>
    <row r="941">
      <c r="A941" s="11" t="n"/>
      <c r="B941" s="10" t="n"/>
      <c r="C941" s="10" t="n"/>
      <c r="D941" s="14" t="n"/>
      <c r="E941" s="10" t="n"/>
      <c r="F941" s="20">
        <f>IF(OR(A941="",B941=""),"",IF(OR(NOT(ISNUMBER(A941)),ISERROR(N941+O941+P941)),"Проверьте даты",IF(AND(N941&gt;0,P941&gt;1),"Дубль",IF(AND(N941&gt;0,O941&gt;0),O941,"Вне аренды"))))</f>
        <v/>
      </c>
      <c r="G941" s="12">
        <f>IF(ISNUMBER(F941),IFERROR(INDEX(Брони!$C$2:$C$500,MATCH(F941,Брони!$A$2:$A$500,0)),""),"")</f>
        <v/>
      </c>
      <c r="H941" s="10" t="n"/>
      <c r="I941" s="18" t="n"/>
      <c r="J941" s="12">
        <f>IF(AND(ISNUMBER(F941),I941&lt;&gt;""),IFERROR(IF(AND(INDEX(Брони!$F$2:$F$500,MATCH(F941,Брони!$A$2:$A$500,0))="Возвращена",I941&gt;INDEX(Брони!$E$2:$E$500,MATCH(F941,Брони!$A$2:$A$500,0))),"Да",""),""),"")</f>
        <v/>
      </c>
      <c r="K941" s="10" t="n"/>
      <c r="L941" s="14" t="n"/>
      <c r="M941" s="15">
        <f>IF(OR(A941="",B941=""),"",IF(AND(ISNUMBER(F941),H941&lt;&gt;"Компания"),D941+L941,0))</f>
        <v/>
      </c>
      <c r="N941" s="21">
        <f>SUMPRODUCT(MAX((Брони!$B$2:$B$500=B941)*((Брони!$F$2:$F$500="Выдана")+(Брони!$F$2:$F$500="Возвращена"))*(Брони!$D$2:$D$500&lt;=A941)*Брони!$D$2:$D$500))</f>
        <v/>
      </c>
      <c r="O941" s="19">
        <f>SUMPRODUCT((Брони!$B$2:$B$500=B941)*(Брони!$D$2:$D$500=N941)*((((Брони!$F$2:$F$500="Выдана")*NOW())+((Брони!$F$2:$F$500="Возвращена")*Брони!$E$2:$E$500))&gt;=A941)*Брони!$A$2:$A$500)</f>
        <v/>
      </c>
      <c r="P941" s="19">
        <f>SUMPRODUCT((Брони!$B$2:$B$500=B941)*(Брони!$D$2:$D$500=N941)*(((Брони!$F$2:$F$500="Выдана")+(Брони!$F$2:$F$500="Возвращена"))))</f>
        <v/>
      </c>
      <c r="Q941" s="10" t="n"/>
    </row>
    <row r="942">
      <c r="A942" s="11" t="n"/>
      <c r="B942" s="10" t="n"/>
      <c r="C942" s="10" t="n"/>
      <c r="D942" s="14" t="n"/>
      <c r="E942" s="10" t="n"/>
      <c r="F942" s="20">
        <f>IF(OR(A942="",B942=""),"",IF(OR(NOT(ISNUMBER(A942)),ISERROR(N942+O942+P942)),"Проверьте даты",IF(AND(N942&gt;0,P942&gt;1),"Дубль",IF(AND(N942&gt;0,O942&gt;0),O942,"Вне аренды"))))</f>
        <v/>
      </c>
      <c r="G942" s="12">
        <f>IF(ISNUMBER(F942),IFERROR(INDEX(Брони!$C$2:$C$500,MATCH(F942,Брони!$A$2:$A$500,0)),""),"")</f>
        <v/>
      </c>
      <c r="H942" s="10" t="n"/>
      <c r="I942" s="18" t="n"/>
      <c r="J942" s="12">
        <f>IF(AND(ISNUMBER(F942),I942&lt;&gt;""),IFERROR(IF(AND(INDEX(Брони!$F$2:$F$500,MATCH(F942,Брони!$A$2:$A$500,0))="Возвращена",I942&gt;INDEX(Брони!$E$2:$E$500,MATCH(F942,Брони!$A$2:$A$500,0))),"Да",""),""),"")</f>
        <v/>
      </c>
      <c r="K942" s="10" t="n"/>
      <c r="L942" s="14" t="n"/>
      <c r="M942" s="15">
        <f>IF(OR(A942="",B942=""),"",IF(AND(ISNUMBER(F942),H942&lt;&gt;"Компания"),D942+L942,0))</f>
        <v/>
      </c>
      <c r="N942" s="21">
        <f>SUMPRODUCT(MAX((Брони!$B$2:$B$500=B942)*((Брони!$F$2:$F$500="Выдана")+(Брони!$F$2:$F$500="Возвращена"))*(Брони!$D$2:$D$500&lt;=A942)*Брони!$D$2:$D$500))</f>
        <v/>
      </c>
      <c r="O942" s="19">
        <f>SUMPRODUCT((Брони!$B$2:$B$500=B942)*(Брони!$D$2:$D$500=N942)*((((Брони!$F$2:$F$500="Выдана")*NOW())+((Брони!$F$2:$F$500="Возвращена")*Брони!$E$2:$E$500))&gt;=A942)*Брони!$A$2:$A$500)</f>
        <v/>
      </c>
      <c r="P942" s="19">
        <f>SUMPRODUCT((Брони!$B$2:$B$500=B942)*(Брони!$D$2:$D$500=N942)*(((Брони!$F$2:$F$500="Выдана")+(Брони!$F$2:$F$500="Возвращена"))))</f>
        <v/>
      </c>
      <c r="Q942" s="10" t="n"/>
    </row>
    <row r="943">
      <c r="A943" s="11" t="n"/>
      <c r="B943" s="10" t="n"/>
      <c r="C943" s="10" t="n"/>
      <c r="D943" s="14" t="n"/>
      <c r="E943" s="10" t="n"/>
      <c r="F943" s="20">
        <f>IF(OR(A943="",B943=""),"",IF(OR(NOT(ISNUMBER(A943)),ISERROR(N943+O943+P943)),"Проверьте даты",IF(AND(N943&gt;0,P943&gt;1),"Дубль",IF(AND(N943&gt;0,O943&gt;0),O943,"Вне аренды"))))</f>
        <v/>
      </c>
      <c r="G943" s="12">
        <f>IF(ISNUMBER(F943),IFERROR(INDEX(Брони!$C$2:$C$500,MATCH(F943,Брони!$A$2:$A$500,0)),""),"")</f>
        <v/>
      </c>
      <c r="H943" s="10" t="n"/>
      <c r="I943" s="18" t="n"/>
      <c r="J943" s="12">
        <f>IF(AND(ISNUMBER(F943),I943&lt;&gt;""),IFERROR(IF(AND(INDEX(Брони!$F$2:$F$500,MATCH(F943,Брони!$A$2:$A$500,0))="Возвращена",I943&gt;INDEX(Брони!$E$2:$E$500,MATCH(F943,Брони!$A$2:$A$500,0))),"Да",""),""),"")</f>
        <v/>
      </c>
      <c r="K943" s="10" t="n"/>
      <c r="L943" s="14" t="n"/>
      <c r="M943" s="15">
        <f>IF(OR(A943="",B943=""),"",IF(AND(ISNUMBER(F943),H943&lt;&gt;"Компания"),D943+L943,0))</f>
        <v/>
      </c>
      <c r="N943" s="21">
        <f>SUMPRODUCT(MAX((Брони!$B$2:$B$500=B943)*((Брони!$F$2:$F$500="Выдана")+(Брони!$F$2:$F$500="Возвращена"))*(Брони!$D$2:$D$500&lt;=A943)*Брони!$D$2:$D$500))</f>
        <v/>
      </c>
      <c r="O943" s="19">
        <f>SUMPRODUCT((Брони!$B$2:$B$500=B943)*(Брони!$D$2:$D$500=N943)*((((Брони!$F$2:$F$500="Выдана")*NOW())+((Брони!$F$2:$F$500="Возвращена")*Брони!$E$2:$E$500))&gt;=A943)*Брони!$A$2:$A$500)</f>
        <v/>
      </c>
      <c r="P943" s="19">
        <f>SUMPRODUCT((Брони!$B$2:$B$500=B943)*(Брони!$D$2:$D$500=N943)*(((Брони!$F$2:$F$500="Выдана")+(Брони!$F$2:$F$500="Возвращена"))))</f>
        <v/>
      </c>
      <c r="Q943" s="10" t="n"/>
    </row>
    <row r="944">
      <c r="A944" s="11" t="n"/>
      <c r="B944" s="10" t="n"/>
      <c r="C944" s="10" t="n"/>
      <c r="D944" s="14" t="n"/>
      <c r="E944" s="10" t="n"/>
      <c r="F944" s="20">
        <f>IF(OR(A944="",B944=""),"",IF(OR(NOT(ISNUMBER(A944)),ISERROR(N944+O944+P944)),"Проверьте даты",IF(AND(N944&gt;0,P944&gt;1),"Дубль",IF(AND(N944&gt;0,O944&gt;0),O944,"Вне аренды"))))</f>
        <v/>
      </c>
      <c r="G944" s="12">
        <f>IF(ISNUMBER(F944),IFERROR(INDEX(Брони!$C$2:$C$500,MATCH(F944,Брони!$A$2:$A$500,0)),""),"")</f>
        <v/>
      </c>
      <c r="H944" s="10" t="n"/>
      <c r="I944" s="18" t="n"/>
      <c r="J944" s="12">
        <f>IF(AND(ISNUMBER(F944),I944&lt;&gt;""),IFERROR(IF(AND(INDEX(Брони!$F$2:$F$500,MATCH(F944,Брони!$A$2:$A$500,0))="Возвращена",I944&gt;INDEX(Брони!$E$2:$E$500,MATCH(F944,Брони!$A$2:$A$500,0))),"Да",""),""),"")</f>
        <v/>
      </c>
      <c r="K944" s="10" t="n"/>
      <c r="L944" s="14" t="n"/>
      <c r="M944" s="15">
        <f>IF(OR(A944="",B944=""),"",IF(AND(ISNUMBER(F944),H944&lt;&gt;"Компания"),D944+L944,0))</f>
        <v/>
      </c>
      <c r="N944" s="21">
        <f>SUMPRODUCT(MAX((Брони!$B$2:$B$500=B944)*((Брони!$F$2:$F$500="Выдана")+(Брони!$F$2:$F$500="Возвращена"))*(Брони!$D$2:$D$500&lt;=A944)*Брони!$D$2:$D$500))</f>
        <v/>
      </c>
      <c r="O944" s="19">
        <f>SUMPRODUCT((Брони!$B$2:$B$500=B944)*(Брони!$D$2:$D$500=N944)*((((Брони!$F$2:$F$500="Выдана")*NOW())+((Брони!$F$2:$F$500="Возвращена")*Брони!$E$2:$E$500))&gt;=A944)*Брони!$A$2:$A$500)</f>
        <v/>
      </c>
      <c r="P944" s="19">
        <f>SUMPRODUCT((Брони!$B$2:$B$500=B944)*(Брони!$D$2:$D$500=N944)*(((Брони!$F$2:$F$500="Выдана")+(Брони!$F$2:$F$500="Возвращена"))))</f>
        <v/>
      </c>
      <c r="Q944" s="10" t="n"/>
    </row>
    <row r="945">
      <c r="A945" s="11" t="n"/>
      <c r="B945" s="10" t="n"/>
      <c r="C945" s="10" t="n"/>
      <c r="D945" s="14" t="n"/>
      <c r="E945" s="10" t="n"/>
      <c r="F945" s="20">
        <f>IF(OR(A945="",B945=""),"",IF(OR(NOT(ISNUMBER(A945)),ISERROR(N945+O945+P945)),"Проверьте даты",IF(AND(N945&gt;0,P945&gt;1),"Дубль",IF(AND(N945&gt;0,O945&gt;0),O945,"Вне аренды"))))</f>
        <v/>
      </c>
      <c r="G945" s="12">
        <f>IF(ISNUMBER(F945),IFERROR(INDEX(Брони!$C$2:$C$500,MATCH(F945,Брони!$A$2:$A$500,0)),""),"")</f>
        <v/>
      </c>
      <c r="H945" s="10" t="n"/>
      <c r="I945" s="18" t="n"/>
      <c r="J945" s="12">
        <f>IF(AND(ISNUMBER(F945),I945&lt;&gt;""),IFERROR(IF(AND(INDEX(Брони!$F$2:$F$500,MATCH(F945,Брони!$A$2:$A$500,0))="Возвращена",I945&gt;INDEX(Брони!$E$2:$E$500,MATCH(F945,Брони!$A$2:$A$500,0))),"Да",""),""),"")</f>
        <v/>
      </c>
      <c r="K945" s="10" t="n"/>
      <c r="L945" s="14" t="n"/>
      <c r="M945" s="15">
        <f>IF(OR(A945="",B945=""),"",IF(AND(ISNUMBER(F945),H945&lt;&gt;"Компания"),D945+L945,0))</f>
        <v/>
      </c>
      <c r="N945" s="21">
        <f>SUMPRODUCT(MAX((Брони!$B$2:$B$500=B945)*((Брони!$F$2:$F$500="Выдана")+(Брони!$F$2:$F$500="Возвращена"))*(Брони!$D$2:$D$500&lt;=A945)*Брони!$D$2:$D$500))</f>
        <v/>
      </c>
      <c r="O945" s="19">
        <f>SUMPRODUCT((Брони!$B$2:$B$500=B945)*(Брони!$D$2:$D$500=N945)*((((Брони!$F$2:$F$500="Выдана")*NOW())+((Брони!$F$2:$F$500="Возвращена")*Брони!$E$2:$E$500))&gt;=A945)*Брони!$A$2:$A$500)</f>
        <v/>
      </c>
      <c r="P945" s="19">
        <f>SUMPRODUCT((Брони!$B$2:$B$500=B945)*(Брони!$D$2:$D$500=N945)*(((Брони!$F$2:$F$500="Выдана")+(Брони!$F$2:$F$500="Возвращена"))))</f>
        <v/>
      </c>
      <c r="Q945" s="10" t="n"/>
    </row>
    <row r="946">
      <c r="A946" s="11" t="n"/>
      <c r="B946" s="10" t="n"/>
      <c r="C946" s="10" t="n"/>
      <c r="D946" s="14" t="n"/>
      <c r="E946" s="10" t="n"/>
      <c r="F946" s="20">
        <f>IF(OR(A946="",B946=""),"",IF(OR(NOT(ISNUMBER(A946)),ISERROR(N946+O946+P946)),"Проверьте даты",IF(AND(N946&gt;0,P946&gt;1),"Дубль",IF(AND(N946&gt;0,O946&gt;0),O946,"Вне аренды"))))</f>
        <v/>
      </c>
      <c r="G946" s="12">
        <f>IF(ISNUMBER(F946),IFERROR(INDEX(Брони!$C$2:$C$500,MATCH(F946,Брони!$A$2:$A$500,0)),""),"")</f>
        <v/>
      </c>
      <c r="H946" s="10" t="n"/>
      <c r="I946" s="18" t="n"/>
      <c r="J946" s="12">
        <f>IF(AND(ISNUMBER(F946),I946&lt;&gt;""),IFERROR(IF(AND(INDEX(Брони!$F$2:$F$500,MATCH(F946,Брони!$A$2:$A$500,0))="Возвращена",I946&gt;INDEX(Брони!$E$2:$E$500,MATCH(F946,Брони!$A$2:$A$500,0))),"Да",""),""),"")</f>
        <v/>
      </c>
      <c r="K946" s="10" t="n"/>
      <c r="L946" s="14" t="n"/>
      <c r="M946" s="15">
        <f>IF(OR(A946="",B946=""),"",IF(AND(ISNUMBER(F946),H946&lt;&gt;"Компания"),D946+L946,0))</f>
        <v/>
      </c>
      <c r="N946" s="21">
        <f>SUMPRODUCT(MAX((Брони!$B$2:$B$500=B946)*((Брони!$F$2:$F$500="Выдана")+(Брони!$F$2:$F$500="Возвращена"))*(Брони!$D$2:$D$500&lt;=A946)*Брони!$D$2:$D$500))</f>
        <v/>
      </c>
      <c r="O946" s="19">
        <f>SUMPRODUCT((Брони!$B$2:$B$500=B946)*(Брони!$D$2:$D$500=N946)*((((Брони!$F$2:$F$500="Выдана")*NOW())+((Брони!$F$2:$F$500="Возвращена")*Брони!$E$2:$E$500))&gt;=A946)*Брони!$A$2:$A$500)</f>
        <v/>
      </c>
      <c r="P946" s="19">
        <f>SUMPRODUCT((Брони!$B$2:$B$500=B946)*(Брони!$D$2:$D$500=N946)*(((Брони!$F$2:$F$500="Выдана")+(Брони!$F$2:$F$500="Возвращена"))))</f>
        <v/>
      </c>
      <c r="Q946" s="10" t="n"/>
    </row>
    <row r="947">
      <c r="A947" s="11" t="n"/>
      <c r="B947" s="10" t="n"/>
      <c r="C947" s="10" t="n"/>
      <c r="D947" s="14" t="n"/>
      <c r="E947" s="10" t="n"/>
      <c r="F947" s="20">
        <f>IF(OR(A947="",B947=""),"",IF(OR(NOT(ISNUMBER(A947)),ISERROR(N947+O947+P947)),"Проверьте даты",IF(AND(N947&gt;0,P947&gt;1),"Дубль",IF(AND(N947&gt;0,O947&gt;0),O947,"Вне аренды"))))</f>
        <v/>
      </c>
      <c r="G947" s="12">
        <f>IF(ISNUMBER(F947),IFERROR(INDEX(Брони!$C$2:$C$500,MATCH(F947,Брони!$A$2:$A$500,0)),""),"")</f>
        <v/>
      </c>
      <c r="H947" s="10" t="n"/>
      <c r="I947" s="18" t="n"/>
      <c r="J947" s="12">
        <f>IF(AND(ISNUMBER(F947),I947&lt;&gt;""),IFERROR(IF(AND(INDEX(Брони!$F$2:$F$500,MATCH(F947,Брони!$A$2:$A$500,0))="Возвращена",I947&gt;INDEX(Брони!$E$2:$E$500,MATCH(F947,Брони!$A$2:$A$500,0))),"Да",""),""),"")</f>
        <v/>
      </c>
      <c r="K947" s="10" t="n"/>
      <c r="L947" s="14" t="n"/>
      <c r="M947" s="15">
        <f>IF(OR(A947="",B947=""),"",IF(AND(ISNUMBER(F947),H947&lt;&gt;"Компания"),D947+L947,0))</f>
        <v/>
      </c>
      <c r="N947" s="21">
        <f>SUMPRODUCT(MAX((Брони!$B$2:$B$500=B947)*((Брони!$F$2:$F$500="Выдана")+(Брони!$F$2:$F$500="Возвращена"))*(Брони!$D$2:$D$500&lt;=A947)*Брони!$D$2:$D$500))</f>
        <v/>
      </c>
      <c r="O947" s="19">
        <f>SUMPRODUCT((Брони!$B$2:$B$500=B947)*(Брони!$D$2:$D$500=N947)*((((Брони!$F$2:$F$500="Выдана")*NOW())+((Брони!$F$2:$F$500="Возвращена")*Брони!$E$2:$E$500))&gt;=A947)*Брони!$A$2:$A$500)</f>
        <v/>
      </c>
      <c r="P947" s="19">
        <f>SUMPRODUCT((Брони!$B$2:$B$500=B947)*(Брони!$D$2:$D$500=N947)*(((Брони!$F$2:$F$500="Выдана")+(Брони!$F$2:$F$500="Возвращена"))))</f>
        <v/>
      </c>
      <c r="Q947" s="10" t="n"/>
    </row>
    <row r="948">
      <c r="A948" s="11" t="n"/>
      <c r="B948" s="10" t="n"/>
      <c r="C948" s="10" t="n"/>
      <c r="D948" s="14" t="n"/>
      <c r="E948" s="10" t="n"/>
      <c r="F948" s="20">
        <f>IF(OR(A948="",B948=""),"",IF(OR(NOT(ISNUMBER(A948)),ISERROR(N948+O948+P948)),"Проверьте даты",IF(AND(N948&gt;0,P948&gt;1),"Дубль",IF(AND(N948&gt;0,O948&gt;0),O948,"Вне аренды"))))</f>
        <v/>
      </c>
      <c r="G948" s="12">
        <f>IF(ISNUMBER(F948),IFERROR(INDEX(Брони!$C$2:$C$500,MATCH(F948,Брони!$A$2:$A$500,0)),""),"")</f>
        <v/>
      </c>
      <c r="H948" s="10" t="n"/>
      <c r="I948" s="18" t="n"/>
      <c r="J948" s="12">
        <f>IF(AND(ISNUMBER(F948),I948&lt;&gt;""),IFERROR(IF(AND(INDEX(Брони!$F$2:$F$500,MATCH(F948,Брони!$A$2:$A$500,0))="Возвращена",I948&gt;INDEX(Брони!$E$2:$E$500,MATCH(F948,Брони!$A$2:$A$500,0))),"Да",""),""),"")</f>
        <v/>
      </c>
      <c r="K948" s="10" t="n"/>
      <c r="L948" s="14" t="n"/>
      <c r="M948" s="15">
        <f>IF(OR(A948="",B948=""),"",IF(AND(ISNUMBER(F948),H948&lt;&gt;"Компания"),D948+L948,0))</f>
        <v/>
      </c>
      <c r="N948" s="21">
        <f>SUMPRODUCT(MAX((Брони!$B$2:$B$500=B948)*((Брони!$F$2:$F$500="Выдана")+(Брони!$F$2:$F$500="Возвращена"))*(Брони!$D$2:$D$500&lt;=A948)*Брони!$D$2:$D$500))</f>
        <v/>
      </c>
      <c r="O948" s="19">
        <f>SUMPRODUCT((Брони!$B$2:$B$500=B948)*(Брони!$D$2:$D$500=N948)*((((Брони!$F$2:$F$500="Выдана")*NOW())+((Брони!$F$2:$F$500="Возвращена")*Брони!$E$2:$E$500))&gt;=A948)*Брони!$A$2:$A$500)</f>
        <v/>
      </c>
      <c r="P948" s="19">
        <f>SUMPRODUCT((Брони!$B$2:$B$500=B948)*(Брони!$D$2:$D$500=N948)*(((Брони!$F$2:$F$500="Выдана")+(Брони!$F$2:$F$500="Возвращена"))))</f>
        <v/>
      </c>
      <c r="Q948" s="10" t="n"/>
    </row>
    <row r="949">
      <c r="A949" s="11" t="n"/>
      <c r="B949" s="10" t="n"/>
      <c r="C949" s="10" t="n"/>
      <c r="D949" s="14" t="n"/>
      <c r="E949" s="10" t="n"/>
      <c r="F949" s="20">
        <f>IF(OR(A949="",B949=""),"",IF(OR(NOT(ISNUMBER(A949)),ISERROR(N949+O949+P949)),"Проверьте даты",IF(AND(N949&gt;0,P949&gt;1),"Дубль",IF(AND(N949&gt;0,O949&gt;0),O949,"Вне аренды"))))</f>
        <v/>
      </c>
      <c r="G949" s="12">
        <f>IF(ISNUMBER(F949),IFERROR(INDEX(Брони!$C$2:$C$500,MATCH(F949,Брони!$A$2:$A$500,0)),""),"")</f>
        <v/>
      </c>
      <c r="H949" s="10" t="n"/>
      <c r="I949" s="18" t="n"/>
      <c r="J949" s="12">
        <f>IF(AND(ISNUMBER(F949),I949&lt;&gt;""),IFERROR(IF(AND(INDEX(Брони!$F$2:$F$500,MATCH(F949,Брони!$A$2:$A$500,0))="Возвращена",I949&gt;INDEX(Брони!$E$2:$E$500,MATCH(F949,Брони!$A$2:$A$500,0))),"Да",""),""),"")</f>
        <v/>
      </c>
      <c r="K949" s="10" t="n"/>
      <c r="L949" s="14" t="n"/>
      <c r="M949" s="15">
        <f>IF(OR(A949="",B949=""),"",IF(AND(ISNUMBER(F949),H949&lt;&gt;"Компания"),D949+L949,0))</f>
        <v/>
      </c>
      <c r="N949" s="21">
        <f>SUMPRODUCT(MAX((Брони!$B$2:$B$500=B949)*((Брони!$F$2:$F$500="Выдана")+(Брони!$F$2:$F$500="Возвращена"))*(Брони!$D$2:$D$500&lt;=A949)*Брони!$D$2:$D$500))</f>
        <v/>
      </c>
      <c r="O949" s="19">
        <f>SUMPRODUCT((Брони!$B$2:$B$500=B949)*(Брони!$D$2:$D$500=N949)*((((Брони!$F$2:$F$500="Выдана")*NOW())+((Брони!$F$2:$F$500="Возвращена")*Брони!$E$2:$E$500))&gt;=A949)*Брони!$A$2:$A$500)</f>
        <v/>
      </c>
      <c r="P949" s="19">
        <f>SUMPRODUCT((Брони!$B$2:$B$500=B949)*(Брони!$D$2:$D$500=N949)*(((Брони!$F$2:$F$500="Выдана")+(Брони!$F$2:$F$500="Возвращена"))))</f>
        <v/>
      </c>
      <c r="Q949" s="10" t="n"/>
    </row>
    <row r="950">
      <c r="A950" s="11" t="n"/>
      <c r="B950" s="10" t="n"/>
      <c r="C950" s="10" t="n"/>
      <c r="D950" s="14" t="n"/>
      <c r="E950" s="10" t="n"/>
      <c r="F950" s="20">
        <f>IF(OR(A950="",B950=""),"",IF(OR(NOT(ISNUMBER(A950)),ISERROR(N950+O950+P950)),"Проверьте даты",IF(AND(N950&gt;0,P950&gt;1),"Дубль",IF(AND(N950&gt;0,O950&gt;0),O950,"Вне аренды"))))</f>
        <v/>
      </c>
      <c r="G950" s="12">
        <f>IF(ISNUMBER(F950),IFERROR(INDEX(Брони!$C$2:$C$500,MATCH(F950,Брони!$A$2:$A$500,0)),""),"")</f>
        <v/>
      </c>
      <c r="H950" s="10" t="n"/>
      <c r="I950" s="18" t="n"/>
      <c r="J950" s="12">
        <f>IF(AND(ISNUMBER(F950),I950&lt;&gt;""),IFERROR(IF(AND(INDEX(Брони!$F$2:$F$500,MATCH(F950,Брони!$A$2:$A$500,0))="Возвращена",I950&gt;INDEX(Брони!$E$2:$E$500,MATCH(F950,Брони!$A$2:$A$500,0))),"Да",""),""),"")</f>
        <v/>
      </c>
      <c r="K950" s="10" t="n"/>
      <c r="L950" s="14" t="n"/>
      <c r="M950" s="15">
        <f>IF(OR(A950="",B950=""),"",IF(AND(ISNUMBER(F950),H950&lt;&gt;"Компания"),D950+L950,0))</f>
        <v/>
      </c>
      <c r="N950" s="21">
        <f>SUMPRODUCT(MAX((Брони!$B$2:$B$500=B950)*((Брони!$F$2:$F$500="Выдана")+(Брони!$F$2:$F$500="Возвращена"))*(Брони!$D$2:$D$500&lt;=A950)*Брони!$D$2:$D$500))</f>
        <v/>
      </c>
      <c r="O950" s="19">
        <f>SUMPRODUCT((Брони!$B$2:$B$500=B950)*(Брони!$D$2:$D$500=N950)*((((Брони!$F$2:$F$500="Выдана")*NOW())+((Брони!$F$2:$F$500="Возвращена")*Брони!$E$2:$E$500))&gt;=A950)*Брони!$A$2:$A$500)</f>
        <v/>
      </c>
      <c r="P950" s="19">
        <f>SUMPRODUCT((Брони!$B$2:$B$500=B950)*(Брони!$D$2:$D$500=N950)*(((Брони!$F$2:$F$500="Выдана")+(Брони!$F$2:$F$500="Возвращена"))))</f>
        <v/>
      </c>
      <c r="Q950" s="10" t="n"/>
    </row>
    <row r="951">
      <c r="A951" s="11" t="n"/>
      <c r="B951" s="10" t="n"/>
      <c r="C951" s="10" t="n"/>
      <c r="D951" s="14" t="n"/>
      <c r="E951" s="10" t="n"/>
      <c r="F951" s="20">
        <f>IF(OR(A951="",B951=""),"",IF(OR(NOT(ISNUMBER(A951)),ISERROR(N951+O951+P951)),"Проверьте даты",IF(AND(N951&gt;0,P951&gt;1),"Дубль",IF(AND(N951&gt;0,O951&gt;0),O951,"Вне аренды"))))</f>
        <v/>
      </c>
      <c r="G951" s="12">
        <f>IF(ISNUMBER(F951),IFERROR(INDEX(Брони!$C$2:$C$500,MATCH(F951,Брони!$A$2:$A$500,0)),""),"")</f>
        <v/>
      </c>
      <c r="H951" s="10" t="n"/>
      <c r="I951" s="18" t="n"/>
      <c r="J951" s="12">
        <f>IF(AND(ISNUMBER(F951),I951&lt;&gt;""),IFERROR(IF(AND(INDEX(Брони!$F$2:$F$500,MATCH(F951,Брони!$A$2:$A$500,0))="Возвращена",I951&gt;INDEX(Брони!$E$2:$E$500,MATCH(F951,Брони!$A$2:$A$500,0))),"Да",""),""),"")</f>
        <v/>
      </c>
      <c r="K951" s="10" t="n"/>
      <c r="L951" s="14" t="n"/>
      <c r="M951" s="15">
        <f>IF(OR(A951="",B951=""),"",IF(AND(ISNUMBER(F951),H951&lt;&gt;"Компания"),D951+L951,0))</f>
        <v/>
      </c>
      <c r="N951" s="21">
        <f>SUMPRODUCT(MAX((Брони!$B$2:$B$500=B951)*((Брони!$F$2:$F$500="Выдана")+(Брони!$F$2:$F$500="Возвращена"))*(Брони!$D$2:$D$500&lt;=A951)*Брони!$D$2:$D$500))</f>
        <v/>
      </c>
      <c r="O951" s="19">
        <f>SUMPRODUCT((Брони!$B$2:$B$500=B951)*(Брони!$D$2:$D$500=N951)*((((Брони!$F$2:$F$500="Выдана")*NOW())+((Брони!$F$2:$F$500="Возвращена")*Брони!$E$2:$E$500))&gt;=A951)*Брони!$A$2:$A$500)</f>
        <v/>
      </c>
      <c r="P951" s="19">
        <f>SUMPRODUCT((Брони!$B$2:$B$500=B951)*(Брони!$D$2:$D$500=N951)*(((Брони!$F$2:$F$500="Выдана")+(Брони!$F$2:$F$500="Возвращена"))))</f>
        <v/>
      </c>
      <c r="Q951" s="10" t="n"/>
    </row>
    <row r="952">
      <c r="A952" s="11" t="n"/>
      <c r="B952" s="10" t="n"/>
      <c r="C952" s="10" t="n"/>
      <c r="D952" s="14" t="n"/>
      <c r="E952" s="10" t="n"/>
      <c r="F952" s="20">
        <f>IF(OR(A952="",B952=""),"",IF(OR(NOT(ISNUMBER(A952)),ISERROR(N952+O952+P952)),"Проверьте даты",IF(AND(N952&gt;0,P952&gt;1),"Дубль",IF(AND(N952&gt;0,O952&gt;0),O952,"Вне аренды"))))</f>
        <v/>
      </c>
      <c r="G952" s="12">
        <f>IF(ISNUMBER(F952),IFERROR(INDEX(Брони!$C$2:$C$500,MATCH(F952,Брони!$A$2:$A$500,0)),""),"")</f>
        <v/>
      </c>
      <c r="H952" s="10" t="n"/>
      <c r="I952" s="18" t="n"/>
      <c r="J952" s="12">
        <f>IF(AND(ISNUMBER(F952),I952&lt;&gt;""),IFERROR(IF(AND(INDEX(Брони!$F$2:$F$500,MATCH(F952,Брони!$A$2:$A$500,0))="Возвращена",I952&gt;INDEX(Брони!$E$2:$E$500,MATCH(F952,Брони!$A$2:$A$500,0))),"Да",""),""),"")</f>
        <v/>
      </c>
      <c r="K952" s="10" t="n"/>
      <c r="L952" s="14" t="n"/>
      <c r="M952" s="15">
        <f>IF(OR(A952="",B952=""),"",IF(AND(ISNUMBER(F952),H952&lt;&gt;"Компания"),D952+L952,0))</f>
        <v/>
      </c>
      <c r="N952" s="21">
        <f>SUMPRODUCT(MAX((Брони!$B$2:$B$500=B952)*((Брони!$F$2:$F$500="Выдана")+(Брони!$F$2:$F$500="Возвращена"))*(Брони!$D$2:$D$500&lt;=A952)*Брони!$D$2:$D$500))</f>
        <v/>
      </c>
      <c r="O952" s="19">
        <f>SUMPRODUCT((Брони!$B$2:$B$500=B952)*(Брони!$D$2:$D$500=N952)*((((Брони!$F$2:$F$500="Выдана")*NOW())+((Брони!$F$2:$F$500="Возвращена")*Брони!$E$2:$E$500))&gt;=A952)*Брони!$A$2:$A$500)</f>
        <v/>
      </c>
      <c r="P952" s="19">
        <f>SUMPRODUCT((Брони!$B$2:$B$500=B952)*(Брони!$D$2:$D$500=N952)*(((Брони!$F$2:$F$500="Выдана")+(Брони!$F$2:$F$500="Возвращена"))))</f>
        <v/>
      </c>
      <c r="Q952" s="10" t="n"/>
    </row>
    <row r="953">
      <c r="A953" s="11" t="n"/>
      <c r="B953" s="10" t="n"/>
      <c r="C953" s="10" t="n"/>
      <c r="D953" s="14" t="n"/>
      <c r="E953" s="10" t="n"/>
      <c r="F953" s="20">
        <f>IF(OR(A953="",B953=""),"",IF(OR(NOT(ISNUMBER(A953)),ISERROR(N953+O953+P953)),"Проверьте даты",IF(AND(N953&gt;0,P953&gt;1),"Дубль",IF(AND(N953&gt;0,O953&gt;0),O953,"Вне аренды"))))</f>
        <v/>
      </c>
      <c r="G953" s="12">
        <f>IF(ISNUMBER(F953),IFERROR(INDEX(Брони!$C$2:$C$500,MATCH(F953,Брони!$A$2:$A$500,0)),""),"")</f>
        <v/>
      </c>
      <c r="H953" s="10" t="n"/>
      <c r="I953" s="18" t="n"/>
      <c r="J953" s="12">
        <f>IF(AND(ISNUMBER(F953),I953&lt;&gt;""),IFERROR(IF(AND(INDEX(Брони!$F$2:$F$500,MATCH(F953,Брони!$A$2:$A$500,0))="Возвращена",I953&gt;INDEX(Брони!$E$2:$E$500,MATCH(F953,Брони!$A$2:$A$500,0))),"Да",""),""),"")</f>
        <v/>
      </c>
      <c r="K953" s="10" t="n"/>
      <c r="L953" s="14" t="n"/>
      <c r="M953" s="15">
        <f>IF(OR(A953="",B953=""),"",IF(AND(ISNUMBER(F953),H953&lt;&gt;"Компания"),D953+L953,0))</f>
        <v/>
      </c>
      <c r="N953" s="21">
        <f>SUMPRODUCT(MAX((Брони!$B$2:$B$500=B953)*((Брони!$F$2:$F$500="Выдана")+(Брони!$F$2:$F$500="Возвращена"))*(Брони!$D$2:$D$500&lt;=A953)*Брони!$D$2:$D$500))</f>
        <v/>
      </c>
      <c r="O953" s="19">
        <f>SUMPRODUCT((Брони!$B$2:$B$500=B953)*(Брони!$D$2:$D$500=N953)*((((Брони!$F$2:$F$500="Выдана")*NOW())+((Брони!$F$2:$F$500="Возвращена")*Брони!$E$2:$E$500))&gt;=A953)*Брони!$A$2:$A$500)</f>
        <v/>
      </c>
      <c r="P953" s="19">
        <f>SUMPRODUCT((Брони!$B$2:$B$500=B953)*(Брони!$D$2:$D$500=N953)*(((Брони!$F$2:$F$500="Выдана")+(Брони!$F$2:$F$500="Возвращена"))))</f>
        <v/>
      </c>
      <c r="Q953" s="10" t="n"/>
    </row>
    <row r="954">
      <c r="A954" s="11" t="n"/>
      <c r="B954" s="10" t="n"/>
      <c r="C954" s="10" t="n"/>
      <c r="D954" s="14" t="n"/>
      <c r="E954" s="10" t="n"/>
      <c r="F954" s="20">
        <f>IF(OR(A954="",B954=""),"",IF(OR(NOT(ISNUMBER(A954)),ISERROR(N954+O954+P954)),"Проверьте даты",IF(AND(N954&gt;0,P954&gt;1),"Дубль",IF(AND(N954&gt;0,O954&gt;0),O954,"Вне аренды"))))</f>
        <v/>
      </c>
      <c r="G954" s="12">
        <f>IF(ISNUMBER(F954),IFERROR(INDEX(Брони!$C$2:$C$500,MATCH(F954,Брони!$A$2:$A$500,0)),""),"")</f>
        <v/>
      </c>
      <c r="H954" s="10" t="n"/>
      <c r="I954" s="18" t="n"/>
      <c r="J954" s="12">
        <f>IF(AND(ISNUMBER(F954),I954&lt;&gt;""),IFERROR(IF(AND(INDEX(Брони!$F$2:$F$500,MATCH(F954,Брони!$A$2:$A$500,0))="Возвращена",I954&gt;INDEX(Брони!$E$2:$E$500,MATCH(F954,Брони!$A$2:$A$500,0))),"Да",""),""),"")</f>
        <v/>
      </c>
      <c r="K954" s="10" t="n"/>
      <c r="L954" s="14" t="n"/>
      <c r="M954" s="15">
        <f>IF(OR(A954="",B954=""),"",IF(AND(ISNUMBER(F954),H954&lt;&gt;"Компания"),D954+L954,0))</f>
        <v/>
      </c>
      <c r="N954" s="21">
        <f>SUMPRODUCT(MAX((Брони!$B$2:$B$500=B954)*((Брони!$F$2:$F$500="Выдана")+(Брони!$F$2:$F$500="Возвращена"))*(Брони!$D$2:$D$500&lt;=A954)*Брони!$D$2:$D$500))</f>
        <v/>
      </c>
      <c r="O954" s="19">
        <f>SUMPRODUCT((Брони!$B$2:$B$500=B954)*(Брони!$D$2:$D$500=N954)*((((Брони!$F$2:$F$500="Выдана")*NOW())+((Брони!$F$2:$F$500="Возвращена")*Брони!$E$2:$E$500))&gt;=A954)*Брони!$A$2:$A$500)</f>
        <v/>
      </c>
      <c r="P954" s="19">
        <f>SUMPRODUCT((Брони!$B$2:$B$500=B954)*(Брони!$D$2:$D$500=N954)*(((Брони!$F$2:$F$500="Выдана")+(Брони!$F$2:$F$500="Возвращена"))))</f>
        <v/>
      </c>
      <c r="Q954" s="10" t="n"/>
    </row>
    <row r="955">
      <c r="A955" s="11" t="n"/>
      <c r="B955" s="10" t="n"/>
      <c r="C955" s="10" t="n"/>
      <c r="D955" s="14" t="n"/>
      <c r="E955" s="10" t="n"/>
      <c r="F955" s="20">
        <f>IF(OR(A955="",B955=""),"",IF(OR(NOT(ISNUMBER(A955)),ISERROR(N955+O955+P955)),"Проверьте даты",IF(AND(N955&gt;0,P955&gt;1),"Дубль",IF(AND(N955&gt;0,O955&gt;0),O955,"Вне аренды"))))</f>
        <v/>
      </c>
      <c r="G955" s="12">
        <f>IF(ISNUMBER(F955),IFERROR(INDEX(Брони!$C$2:$C$500,MATCH(F955,Брони!$A$2:$A$500,0)),""),"")</f>
        <v/>
      </c>
      <c r="H955" s="10" t="n"/>
      <c r="I955" s="18" t="n"/>
      <c r="J955" s="12">
        <f>IF(AND(ISNUMBER(F955),I955&lt;&gt;""),IFERROR(IF(AND(INDEX(Брони!$F$2:$F$500,MATCH(F955,Брони!$A$2:$A$500,0))="Возвращена",I955&gt;INDEX(Брони!$E$2:$E$500,MATCH(F955,Брони!$A$2:$A$500,0))),"Да",""),""),"")</f>
        <v/>
      </c>
      <c r="K955" s="10" t="n"/>
      <c r="L955" s="14" t="n"/>
      <c r="M955" s="15">
        <f>IF(OR(A955="",B955=""),"",IF(AND(ISNUMBER(F955),H955&lt;&gt;"Компания"),D955+L955,0))</f>
        <v/>
      </c>
      <c r="N955" s="21">
        <f>SUMPRODUCT(MAX((Брони!$B$2:$B$500=B955)*((Брони!$F$2:$F$500="Выдана")+(Брони!$F$2:$F$500="Возвращена"))*(Брони!$D$2:$D$500&lt;=A955)*Брони!$D$2:$D$500))</f>
        <v/>
      </c>
      <c r="O955" s="19">
        <f>SUMPRODUCT((Брони!$B$2:$B$500=B955)*(Брони!$D$2:$D$500=N955)*((((Брони!$F$2:$F$500="Выдана")*NOW())+((Брони!$F$2:$F$500="Возвращена")*Брони!$E$2:$E$500))&gt;=A955)*Брони!$A$2:$A$500)</f>
        <v/>
      </c>
      <c r="P955" s="19">
        <f>SUMPRODUCT((Брони!$B$2:$B$500=B955)*(Брони!$D$2:$D$500=N955)*(((Брони!$F$2:$F$500="Выдана")+(Брони!$F$2:$F$500="Возвращена"))))</f>
        <v/>
      </c>
      <c r="Q955" s="10" t="n"/>
    </row>
    <row r="956">
      <c r="A956" s="11" t="n"/>
      <c r="B956" s="10" t="n"/>
      <c r="C956" s="10" t="n"/>
      <c r="D956" s="14" t="n"/>
      <c r="E956" s="10" t="n"/>
      <c r="F956" s="20">
        <f>IF(OR(A956="",B956=""),"",IF(OR(NOT(ISNUMBER(A956)),ISERROR(N956+O956+P956)),"Проверьте даты",IF(AND(N956&gt;0,P956&gt;1),"Дубль",IF(AND(N956&gt;0,O956&gt;0),O956,"Вне аренды"))))</f>
        <v/>
      </c>
      <c r="G956" s="12">
        <f>IF(ISNUMBER(F956),IFERROR(INDEX(Брони!$C$2:$C$500,MATCH(F956,Брони!$A$2:$A$500,0)),""),"")</f>
        <v/>
      </c>
      <c r="H956" s="10" t="n"/>
      <c r="I956" s="18" t="n"/>
      <c r="J956" s="12">
        <f>IF(AND(ISNUMBER(F956),I956&lt;&gt;""),IFERROR(IF(AND(INDEX(Брони!$F$2:$F$500,MATCH(F956,Брони!$A$2:$A$500,0))="Возвращена",I956&gt;INDEX(Брони!$E$2:$E$500,MATCH(F956,Брони!$A$2:$A$500,0))),"Да",""),""),"")</f>
        <v/>
      </c>
      <c r="K956" s="10" t="n"/>
      <c r="L956" s="14" t="n"/>
      <c r="M956" s="15">
        <f>IF(OR(A956="",B956=""),"",IF(AND(ISNUMBER(F956),H956&lt;&gt;"Компания"),D956+L956,0))</f>
        <v/>
      </c>
      <c r="N956" s="21">
        <f>SUMPRODUCT(MAX((Брони!$B$2:$B$500=B956)*((Брони!$F$2:$F$500="Выдана")+(Брони!$F$2:$F$500="Возвращена"))*(Брони!$D$2:$D$500&lt;=A956)*Брони!$D$2:$D$500))</f>
        <v/>
      </c>
      <c r="O956" s="19">
        <f>SUMPRODUCT((Брони!$B$2:$B$500=B956)*(Брони!$D$2:$D$500=N956)*((((Брони!$F$2:$F$500="Выдана")*NOW())+((Брони!$F$2:$F$500="Возвращена")*Брони!$E$2:$E$500))&gt;=A956)*Брони!$A$2:$A$500)</f>
        <v/>
      </c>
      <c r="P956" s="19">
        <f>SUMPRODUCT((Брони!$B$2:$B$500=B956)*(Брони!$D$2:$D$500=N956)*(((Брони!$F$2:$F$500="Выдана")+(Брони!$F$2:$F$500="Возвращена"))))</f>
        <v/>
      </c>
      <c r="Q956" s="10" t="n"/>
    </row>
    <row r="957">
      <c r="A957" s="11" t="n"/>
      <c r="B957" s="10" t="n"/>
      <c r="C957" s="10" t="n"/>
      <c r="D957" s="14" t="n"/>
      <c r="E957" s="10" t="n"/>
      <c r="F957" s="20">
        <f>IF(OR(A957="",B957=""),"",IF(OR(NOT(ISNUMBER(A957)),ISERROR(N957+O957+P957)),"Проверьте даты",IF(AND(N957&gt;0,P957&gt;1),"Дубль",IF(AND(N957&gt;0,O957&gt;0),O957,"Вне аренды"))))</f>
        <v/>
      </c>
      <c r="G957" s="12">
        <f>IF(ISNUMBER(F957),IFERROR(INDEX(Брони!$C$2:$C$500,MATCH(F957,Брони!$A$2:$A$500,0)),""),"")</f>
        <v/>
      </c>
      <c r="H957" s="10" t="n"/>
      <c r="I957" s="18" t="n"/>
      <c r="J957" s="12">
        <f>IF(AND(ISNUMBER(F957),I957&lt;&gt;""),IFERROR(IF(AND(INDEX(Брони!$F$2:$F$500,MATCH(F957,Брони!$A$2:$A$500,0))="Возвращена",I957&gt;INDEX(Брони!$E$2:$E$500,MATCH(F957,Брони!$A$2:$A$500,0))),"Да",""),""),"")</f>
        <v/>
      </c>
      <c r="K957" s="10" t="n"/>
      <c r="L957" s="14" t="n"/>
      <c r="M957" s="15">
        <f>IF(OR(A957="",B957=""),"",IF(AND(ISNUMBER(F957),H957&lt;&gt;"Компания"),D957+L957,0))</f>
        <v/>
      </c>
      <c r="N957" s="21">
        <f>SUMPRODUCT(MAX((Брони!$B$2:$B$500=B957)*((Брони!$F$2:$F$500="Выдана")+(Брони!$F$2:$F$500="Возвращена"))*(Брони!$D$2:$D$500&lt;=A957)*Брони!$D$2:$D$500))</f>
        <v/>
      </c>
      <c r="O957" s="19">
        <f>SUMPRODUCT((Брони!$B$2:$B$500=B957)*(Брони!$D$2:$D$500=N957)*((((Брони!$F$2:$F$500="Выдана")*NOW())+((Брони!$F$2:$F$500="Возвращена")*Брони!$E$2:$E$500))&gt;=A957)*Брони!$A$2:$A$500)</f>
        <v/>
      </c>
      <c r="P957" s="19">
        <f>SUMPRODUCT((Брони!$B$2:$B$500=B957)*(Брони!$D$2:$D$500=N957)*(((Брони!$F$2:$F$500="Выдана")+(Брони!$F$2:$F$500="Возвращена"))))</f>
        <v/>
      </c>
      <c r="Q957" s="10" t="n"/>
    </row>
    <row r="958">
      <c r="A958" s="11" t="n"/>
      <c r="B958" s="10" t="n"/>
      <c r="C958" s="10" t="n"/>
      <c r="D958" s="14" t="n"/>
      <c r="E958" s="10" t="n"/>
      <c r="F958" s="20">
        <f>IF(OR(A958="",B958=""),"",IF(OR(NOT(ISNUMBER(A958)),ISERROR(N958+O958+P958)),"Проверьте даты",IF(AND(N958&gt;0,P958&gt;1),"Дубль",IF(AND(N958&gt;0,O958&gt;0),O958,"Вне аренды"))))</f>
        <v/>
      </c>
      <c r="G958" s="12">
        <f>IF(ISNUMBER(F958),IFERROR(INDEX(Брони!$C$2:$C$500,MATCH(F958,Брони!$A$2:$A$500,0)),""),"")</f>
        <v/>
      </c>
      <c r="H958" s="10" t="n"/>
      <c r="I958" s="18" t="n"/>
      <c r="J958" s="12">
        <f>IF(AND(ISNUMBER(F958),I958&lt;&gt;""),IFERROR(IF(AND(INDEX(Брони!$F$2:$F$500,MATCH(F958,Брони!$A$2:$A$500,0))="Возвращена",I958&gt;INDEX(Брони!$E$2:$E$500,MATCH(F958,Брони!$A$2:$A$500,0))),"Да",""),""),"")</f>
        <v/>
      </c>
      <c r="K958" s="10" t="n"/>
      <c r="L958" s="14" t="n"/>
      <c r="M958" s="15">
        <f>IF(OR(A958="",B958=""),"",IF(AND(ISNUMBER(F958),H958&lt;&gt;"Компания"),D958+L958,0))</f>
        <v/>
      </c>
      <c r="N958" s="21">
        <f>SUMPRODUCT(MAX((Брони!$B$2:$B$500=B958)*((Брони!$F$2:$F$500="Выдана")+(Брони!$F$2:$F$500="Возвращена"))*(Брони!$D$2:$D$500&lt;=A958)*Брони!$D$2:$D$500))</f>
        <v/>
      </c>
      <c r="O958" s="19">
        <f>SUMPRODUCT((Брони!$B$2:$B$500=B958)*(Брони!$D$2:$D$500=N958)*((((Брони!$F$2:$F$500="Выдана")*NOW())+((Брони!$F$2:$F$500="Возвращена")*Брони!$E$2:$E$500))&gt;=A958)*Брони!$A$2:$A$500)</f>
        <v/>
      </c>
      <c r="P958" s="19">
        <f>SUMPRODUCT((Брони!$B$2:$B$500=B958)*(Брони!$D$2:$D$500=N958)*(((Брони!$F$2:$F$500="Выдана")+(Брони!$F$2:$F$500="Возвращена"))))</f>
        <v/>
      </c>
      <c r="Q958" s="10" t="n"/>
    </row>
    <row r="959">
      <c r="A959" s="11" t="n"/>
      <c r="B959" s="10" t="n"/>
      <c r="C959" s="10" t="n"/>
      <c r="D959" s="14" t="n"/>
      <c r="E959" s="10" t="n"/>
      <c r="F959" s="20">
        <f>IF(OR(A959="",B959=""),"",IF(OR(NOT(ISNUMBER(A959)),ISERROR(N959+O959+P959)),"Проверьте даты",IF(AND(N959&gt;0,P959&gt;1),"Дубль",IF(AND(N959&gt;0,O959&gt;0),O959,"Вне аренды"))))</f>
        <v/>
      </c>
      <c r="G959" s="12">
        <f>IF(ISNUMBER(F959),IFERROR(INDEX(Брони!$C$2:$C$500,MATCH(F959,Брони!$A$2:$A$500,0)),""),"")</f>
        <v/>
      </c>
      <c r="H959" s="10" t="n"/>
      <c r="I959" s="18" t="n"/>
      <c r="J959" s="12">
        <f>IF(AND(ISNUMBER(F959),I959&lt;&gt;""),IFERROR(IF(AND(INDEX(Брони!$F$2:$F$500,MATCH(F959,Брони!$A$2:$A$500,0))="Возвращена",I959&gt;INDEX(Брони!$E$2:$E$500,MATCH(F959,Брони!$A$2:$A$500,0))),"Да",""),""),"")</f>
        <v/>
      </c>
      <c r="K959" s="10" t="n"/>
      <c r="L959" s="14" t="n"/>
      <c r="M959" s="15">
        <f>IF(OR(A959="",B959=""),"",IF(AND(ISNUMBER(F959),H959&lt;&gt;"Компания"),D959+L959,0))</f>
        <v/>
      </c>
      <c r="N959" s="21">
        <f>SUMPRODUCT(MAX((Брони!$B$2:$B$500=B959)*((Брони!$F$2:$F$500="Выдана")+(Брони!$F$2:$F$500="Возвращена"))*(Брони!$D$2:$D$500&lt;=A959)*Брони!$D$2:$D$500))</f>
        <v/>
      </c>
      <c r="O959" s="19">
        <f>SUMPRODUCT((Брони!$B$2:$B$500=B959)*(Брони!$D$2:$D$500=N959)*((((Брони!$F$2:$F$500="Выдана")*NOW())+((Брони!$F$2:$F$500="Возвращена")*Брони!$E$2:$E$500))&gt;=A959)*Брони!$A$2:$A$500)</f>
        <v/>
      </c>
      <c r="P959" s="19">
        <f>SUMPRODUCT((Брони!$B$2:$B$500=B959)*(Брони!$D$2:$D$500=N959)*(((Брони!$F$2:$F$500="Выдана")+(Брони!$F$2:$F$500="Возвращена"))))</f>
        <v/>
      </c>
      <c r="Q959" s="10" t="n"/>
    </row>
    <row r="960">
      <c r="A960" s="11" t="n"/>
      <c r="B960" s="10" t="n"/>
      <c r="C960" s="10" t="n"/>
      <c r="D960" s="14" t="n"/>
      <c r="E960" s="10" t="n"/>
      <c r="F960" s="20">
        <f>IF(OR(A960="",B960=""),"",IF(OR(NOT(ISNUMBER(A960)),ISERROR(N960+O960+P960)),"Проверьте даты",IF(AND(N960&gt;0,P960&gt;1),"Дубль",IF(AND(N960&gt;0,O960&gt;0),O960,"Вне аренды"))))</f>
        <v/>
      </c>
      <c r="G960" s="12">
        <f>IF(ISNUMBER(F960),IFERROR(INDEX(Брони!$C$2:$C$500,MATCH(F960,Брони!$A$2:$A$500,0)),""),"")</f>
        <v/>
      </c>
      <c r="H960" s="10" t="n"/>
      <c r="I960" s="18" t="n"/>
      <c r="J960" s="12">
        <f>IF(AND(ISNUMBER(F960),I960&lt;&gt;""),IFERROR(IF(AND(INDEX(Брони!$F$2:$F$500,MATCH(F960,Брони!$A$2:$A$500,0))="Возвращена",I960&gt;INDEX(Брони!$E$2:$E$500,MATCH(F960,Брони!$A$2:$A$500,0))),"Да",""),""),"")</f>
        <v/>
      </c>
      <c r="K960" s="10" t="n"/>
      <c r="L960" s="14" t="n"/>
      <c r="M960" s="15">
        <f>IF(OR(A960="",B960=""),"",IF(AND(ISNUMBER(F960),H960&lt;&gt;"Компания"),D960+L960,0))</f>
        <v/>
      </c>
      <c r="N960" s="21">
        <f>SUMPRODUCT(MAX((Брони!$B$2:$B$500=B960)*((Брони!$F$2:$F$500="Выдана")+(Брони!$F$2:$F$500="Возвращена"))*(Брони!$D$2:$D$500&lt;=A960)*Брони!$D$2:$D$500))</f>
        <v/>
      </c>
      <c r="O960" s="19">
        <f>SUMPRODUCT((Брони!$B$2:$B$500=B960)*(Брони!$D$2:$D$500=N960)*((((Брони!$F$2:$F$500="Выдана")*NOW())+((Брони!$F$2:$F$500="Возвращена")*Брони!$E$2:$E$500))&gt;=A960)*Брони!$A$2:$A$500)</f>
        <v/>
      </c>
      <c r="P960" s="19">
        <f>SUMPRODUCT((Брони!$B$2:$B$500=B960)*(Брони!$D$2:$D$500=N960)*(((Брони!$F$2:$F$500="Выдана")+(Брони!$F$2:$F$500="Возвращена"))))</f>
        <v/>
      </c>
      <c r="Q960" s="10" t="n"/>
    </row>
    <row r="961">
      <c r="A961" s="11" t="n"/>
      <c r="B961" s="10" t="n"/>
      <c r="C961" s="10" t="n"/>
      <c r="D961" s="14" t="n"/>
      <c r="E961" s="10" t="n"/>
      <c r="F961" s="20">
        <f>IF(OR(A961="",B961=""),"",IF(OR(NOT(ISNUMBER(A961)),ISERROR(N961+O961+P961)),"Проверьте даты",IF(AND(N961&gt;0,P961&gt;1),"Дубль",IF(AND(N961&gt;0,O961&gt;0),O961,"Вне аренды"))))</f>
        <v/>
      </c>
      <c r="G961" s="12">
        <f>IF(ISNUMBER(F961),IFERROR(INDEX(Брони!$C$2:$C$500,MATCH(F961,Брони!$A$2:$A$500,0)),""),"")</f>
        <v/>
      </c>
      <c r="H961" s="10" t="n"/>
      <c r="I961" s="18" t="n"/>
      <c r="J961" s="12">
        <f>IF(AND(ISNUMBER(F961),I961&lt;&gt;""),IFERROR(IF(AND(INDEX(Брони!$F$2:$F$500,MATCH(F961,Брони!$A$2:$A$500,0))="Возвращена",I961&gt;INDEX(Брони!$E$2:$E$500,MATCH(F961,Брони!$A$2:$A$500,0))),"Да",""),""),"")</f>
        <v/>
      </c>
      <c r="K961" s="10" t="n"/>
      <c r="L961" s="14" t="n"/>
      <c r="M961" s="15">
        <f>IF(OR(A961="",B961=""),"",IF(AND(ISNUMBER(F961),H961&lt;&gt;"Компания"),D961+L961,0))</f>
        <v/>
      </c>
      <c r="N961" s="21">
        <f>SUMPRODUCT(MAX((Брони!$B$2:$B$500=B961)*((Брони!$F$2:$F$500="Выдана")+(Брони!$F$2:$F$500="Возвращена"))*(Брони!$D$2:$D$500&lt;=A961)*Брони!$D$2:$D$500))</f>
        <v/>
      </c>
      <c r="O961" s="19">
        <f>SUMPRODUCT((Брони!$B$2:$B$500=B961)*(Брони!$D$2:$D$500=N961)*((((Брони!$F$2:$F$500="Выдана")*NOW())+((Брони!$F$2:$F$500="Возвращена")*Брони!$E$2:$E$500))&gt;=A961)*Брони!$A$2:$A$500)</f>
        <v/>
      </c>
      <c r="P961" s="19">
        <f>SUMPRODUCT((Брони!$B$2:$B$500=B961)*(Брони!$D$2:$D$500=N961)*(((Брони!$F$2:$F$500="Выдана")+(Брони!$F$2:$F$500="Возвращена"))))</f>
        <v/>
      </c>
      <c r="Q961" s="10" t="n"/>
    </row>
    <row r="962">
      <c r="A962" s="11" t="n"/>
      <c r="B962" s="10" t="n"/>
      <c r="C962" s="10" t="n"/>
      <c r="D962" s="14" t="n"/>
      <c r="E962" s="10" t="n"/>
      <c r="F962" s="20">
        <f>IF(OR(A962="",B962=""),"",IF(OR(NOT(ISNUMBER(A962)),ISERROR(N962+O962+P962)),"Проверьте даты",IF(AND(N962&gt;0,P962&gt;1),"Дубль",IF(AND(N962&gt;0,O962&gt;0),O962,"Вне аренды"))))</f>
        <v/>
      </c>
      <c r="G962" s="12">
        <f>IF(ISNUMBER(F962),IFERROR(INDEX(Брони!$C$2:$C$500,MATCH(F962,Брони!$A$2:$A$500,0)),""),"")</f>
        <v/>
      </c>
      <c r="H962" s="10" t="n"/>
      <c r="I962" s="18" t="n"/>
      <c r="J962" s="12">
        <f>IF(AND(ISNUMBER(F962),I962&lt;&gt;""),IFERROR(IF(AND(INDEX(Брони!$F$2:$F$500,MATCH(F962,Брони!$A$2:$A$500,0))="Возвращена",I962&gt;INDEX(Брони!$E$2:$E$500,MATCH(F962,Брони!$A$2:$A$500,0))),"Да",""),""),"")</f>
        <v/>
      </c>
      <c r="K962" s="10" t="n"/>
      <c r="L962" s="14" t="n"/>
      <c r="M962" s="15">
        <f>IF(OR(A962="",B962=""),"",IF(AND(ISNUMBER(F962),H962&lt;&gt;"Компания"),D962+L962,0))</f>
        <v/>
      </c>
      <c r="N962" s="21">
        <f>SUMPRODUCT(MAX((Брони!$B$2:$B$500=B962)*((Брони!$F$2:$F$500="Выдана")+(Брони!$F$2:$F$500="Возвращена"))*(Брони!$D$2:$D$500&lt;=A962)*Брони!$D$2:$D$500))</f>
        <v/>
      </c>
      <c r="O962" s="19">
        <f>SUMPRODUCT((Брони!$B$2:$B$500=B962)*(Брони!$D$2:$D$500=N962)*((((Брони!$F$2:$F$500="Выдана")*NOW())+((Брони!$F$2:$F$500="Возвращена")*Брони!$E$2:$E$500))&gt;=A962)*Брони!$A$2:$A$500)</f>
        <v/>
      </c>
      <c r="P962" s="19">
        <f>SUMPRODUCT((Брони!$B$2:$B$500=B962)*(Брони!$D$2:$D$500=N962)*(((Брони!$F$2:$F$500="Выдана")+(Брони!$F$2:$F$500="Возвращена"))))</f>
        <v/>
      </c>
      <c r="Q962" s="10" t="n"/>
    </row>
    <row r="963">
      <c r="A963" s="11" t="n"/>
      <c r="B963" s="10" t="n"/>
      <c r="C963" s="10" t="n"/>
      <c r="D963" s="14" t="n"/>
      <c r="E963" s="10" t="n"/>
      <c r="F963" s="20">
        <f>IF(OR(A963="",B963=""),"",IF(OR(NOT(ISNUMBER(A963)),ISERROR(N963+O963+P963)),"Проверьте даты",IF(AND(N963&gt;0,P963&gt;1),"Дубль",IF(AND(N963&gt;0,O963&gt;0),O963,"Вне аренды"))))</f>
        <v/>
      </c>
      <c r="G963" s="12">
        <f>IF(ISNUMBER(F963),IFERROR(INDEX(Брони!$C$2:$C$500,MATCH(F963,Брони!$A$2:$A$500,0)),""),"")</f>
        <v/>
      </c>
      <c r="H963" s="10" t="n"/>
      <c r="I963" s="18" t="n"/>
      <c r="J963" s="12">
        <f>IF(AND(ISNUMBER(F963),I963&lt;&gt;""),IFERROR(IF(AND(INDEX(Брони!$F$2:$F$500,MATCH(F963,Брони!$A$2:$A$500,0))="Возвращена",I963&gt;INDEX(Брони!$E$2:$E$500,MATCH(F963,Брони!$A$2:$A$500,0))),"Да",""),""),"")</f>
        <v/>
      </c>
      <c r="K963" s="10" t="n"/>
      <c r="L963" s="14" t="n"/>
      <c r="M963" s="15">
        <f>IF(OR(A963="",B963=""),"",IF(AND(ISNUMBER(F963),H963&lt;&gt;"Компания"),D963+L963,0))</f>
        <v/>
      </c>
      <c r="N963" s="21">
        <f>SUMPRODUCT(MAX((Брони!$B$2:$B$500=B963)*((Брони!$F$2:$F$500="Выдана")+(Брони!$F$2:$F$500="Возвращена"))*(Брони!$D$2:$D$500&lt;=A963)*Брони!$D$2:$D$500))</f>
        <v/>
      </c>
      <c r="O963" s="19">
        <f>SUMPRODUCT((Брони!$B$2:$B$500=B963)*(Брони!$D$2:$D$500=N963)*((((Брони!$F$2:$F$500="Выдана")*NOW())+((Брони!$F$2:$F$500="Возвращена")*Брони!$E$2:$E$500))&gt;=A963)*Брони!$A$2:$A$500)</f>
        <v/>
      </c>
      <c r="P963" s="19">
        <f>SUMPRODUCT((Брони!$B$2:$B$500=B963)*(Брони!$D$2:$D$500=N963)*(((Брони!$F$2:$F$500="Выдана")+(Брони!$F$2:$F$500="Возвращена"))))</f>
        <v/>
      </c>
      <c r="Q963" s="10" t="n"/>
    </row>
    <row r="964">
      <c r="A964" s="11" t="n"/>
      <c r="B964" s="10" t="n"/>
      <c r="C964" s="10" t="n"/>
      <c r="D964" s="14" t="n"/>
      <c r="E964" s="10" t="n"/>
      <c r="F964" s="20">
        <f>IF(OR(A964="",B964=""),"",IF(OR(NOT(ISNUMBER(A964)),ISERROR(N964+O964+P964)),"Проверьте даты",IF(AND(N964&gt;0,P964&gt;1),"Дубль",IF(AND(N964&gt;0,O964&gt;0),O964,"Вне аренды"))))</f>
        <v/>
      </c>
      <c r="G964" s="12">
        <f>IF(ISNUMBER(F964),IFERROR(INDEX(Брони!$C$2:$C$500,MATCH(F964,Брони!$A$2:$A$500,0)),""),"")</f>
        <v/>
      </c>
      <c r="H964" s="10" t="n"/>
      <c r="I964" s="18" t="n"/>
      <c r="J964" s="12">
        <f>IF(AND(ISNUMBER(F964),I964&lt;&gt;""),IFERROR(IF(AND(INDEX(Брони!$F$2:$F$500,MATCH(F964,Брони!$A$2:$A$500,0))="Возвращена",I964&gt;INDEX(Брони!$E$2:$E$500,MATCH(F964,Брони!$A$2:$A$500,0))),"Да",""),""),"")</f>
        <v/>
      </c>
      <c r="K964" s="10" t="n"/>
      <c r="L964" s="14" t="n"/>
      <c r="M964" s="15">
        <f>IF(OR(A964="",B964=""),"",IF(AND(ISNUMBER(F964),H964&lt;&gt;"Компания"),D964+L964,0))</f>
        <v/>
      </c>
      <c r="N964" s="21">
        <f>SUMPRODUCT(MAX((Брони!$B$2:$B$500=B964)*((Брони!$F$2:$F$500="Выдана")+(Брони!$F$2:$F$500="Возвращена"))*(Брони!$D$2:$D$500&lt;=A964)*Брони!$D$2:$D$500))</f>
        <v/>
      </c>
      <c r="O964" s="19">
        <f>SUMPRODUCT((Брони!$B$2:$B$500=B964)*(Брони!$D$2:$D$500=N964)*((((Брони!$F$2:$F$500="Выдана")*NOW())+((Брони!$F$2:$F$500="Возвращена")*Брони!$E$2:$E$500))&gt;=A964)*Брони!$A$2:$A$500)</f>
        <v/>
      </c>
      <c r="P964" s="19">
        <f>SUMPRODUCT((Брони!$B$2:$B$500=B964)*(Брони!$D$2:$D$500=N964)*(((Брони!$F$2:$F$500="Выдана")+(Брони!$F$2:$F$500="Возвращена"))))</f>
        <v/>
      </c>
      <c r="Q964" s="10" t="n"/>
    </row>
    <row r="965">
      <c r="A965" s="11" t="n"/>
      <c r="B965" s="10" t="n"/>
      <c r="C965" s="10" t="n"/>
      <c r="D965" s="14" t="n"/>
      <c r="E965" s="10" t="n"/>
      <c r="F965" s="20">
        <f>IF(OR(A965="",B965=""),"",IF(OR(NOT(ISNUMBER(A965)),ISERROR(N965+O965+P965)),"Проверьте даты",IF(AND(N965&gt;0,P965&gt;1),"Дубль",IF(AND(N965&gt;0,O965&gt;0),O965,"Вне аренды"))))</f>
        <v/>
      </c>
      <c r="G965" s="12">
        <f>IF(ISNUMBER(F965),IFERROR(INDEX(Брони!$C$2:$C$500,MATCH(F965,Брони!$A$2:$A$500,0)),""),"")</f>
        <v/>
      </c>
      <c r="H965" s="10" t="n"/>
      <c r="I965" s="18" t="n"/>
      <c r="J965" s="12">
        <f>IF(AND(ISNUMBER(F965),I965&lt;&gt;""),IFERROR(IF(AND(INDEX(Брони!$F$2:$F$500,MATCH(F965,Брони!$A$2:$A$500,0))="Возвращена",I965&gt;INDEX(Брони!$E$2:$E$500,MATCH(F965,Брони!$A$2:$A$500,0))),"Да",""),""),"")</f>
        <v/>
      </c>
      <c r="K965" s="10" t="n"/>
      <c r="L965" s="14" t="n"/>
      <c r="M965" s="15">
        <f>IF(OR(A965="",B965=""),"",IF(AND(ISNUMBER(F965),H965&lt;&gt;"Компания"),D965+L965,0))</f>
        <v/>
      </c>
      <c r="N965" s="21">
        <f>SUMPRODUCT(MAX((Брони!$B$2:$B$500=B965)*((Брони!$F$2:$F$500="Выдана")+(Брони!$F$2:$F$500="Возвращена"))*(Брони!$D$2:$D$500&lt;=A965)*Брони!$D$2:$D$500))</f>
        <v/>
      </c>
      <c r="O965" s="19">
        <f>SUMPRODUCT((Брони!$B$2:$B$500=B965)*(Брони!$D$2:$D$500=N965)*((((Брони!$F$2:$F$500="Выдана")*NOW())+((Брони!$F$2:$F$500="Возвращена")*Брони!$E$2:$E$500))&gt;=A965)*Брони!$A$2:$A$500)</f>
        <v/>
      </c>
      <c r="P965" s="19">
        <f>SUMPRODUCT((Брони!$B$2:$B$500=B965)*(Брони!$D$2:$D$500=N965)*(((Брони!$F$2:$F$500="Выдана")+(Брони!$F$2:$F$500="Возвращена"))))</f>
        <v/>
      </c>
      <c r="Q965" s="10" t="n"/>
    </row>
    <row r="966">
      <c r="A966" s="11" t="n"/>
      <c r="B966" s="10" t="n"/>
      <c r="C966" s="10" t="n"/>
      <c r="D966" s="14" t="n"/>
      <c r="E966" s="10" t="n"/>
      <c r="F966" s="20">
        <f>IF(OR(A966="",B966=""),"",IF(OR(NOT(ISNUMBER(A966)),ISERROR(N966+O966+P966)),"Проверьте даты",IF(AND(N966&gt;0,P966&gt;1),"Дубль",IF(AND(N966&gt;0,O966&gt;0),O966,"Вне аренды"))))</f>
        <v/>
      </c>
      <c r="G966" s="12">
        <f>IF(ISNUMBER(F966),IFERROR(INDEX(Брони!$C$2:$C$500,MATCH(F966,Брони!$A$2:$A$500,0)),""),"")</f>
        <v/>
      </c>
      <c r="H966" s="10" t="n"/>
      <c r="I966" s="18" t="n"/>
      <c r="J966" s="12">
        <f>IF(AND(ISNUMBER(F966),I966&lt;&gt;""),IFERROR(IF(AND(INDEX(Брони!$F$2:$F$500,MATCH(F966,Брони!$A$2:$A$500,0))="Возвращена",I966&gt;INDEX(Брони!$E$2:$E$500,MATCH(F966,Брони!$A$2:$A$500,0))),"Да",""),""),"")</f>
        <v/>
      </c>
      <c r="K966" s="10" t="n"/>
      <c r="L966" s="14" t="n"/>
      <c r="M966" s="15">
        <f>IF(OR(A966="",B966=""),"",IF(AND(ISNUMBER(F966),H966&lt;&gt;"Компания"),D966+L966,0))</f>
        <v/>
      </c>
      <c r="N966" s="21">
        <f>SUMPRODUCT(MAX((Брони!$B$2:$B$500=B966)*((Брони!$F$2:$F$500="Выдана")+(Брони!$F$2:$F$500="Возвращена"))*(Брони!$D$2:$D$500&lt;=A966)*Брони!$D$2:$D$500))</f>
        <v/>
      </c>
      <c r="O966" s="19">
        <f>SUMPRODUCT((Брони!$B$2:$B$500=B966)*(Брони!$D$2:$D$500=N966)*((((Брони!$F$2:$F$500="Выдана")*NOW())+((Брони!$F$2:$F$500="Возвращена")*Брони!$E$2:$E$500))&gt;=A966)*Брони!$A$2:$A$500)</f>
        <v/>
      </c>
      <c r="P966" s="19">
        <f>SUMPRODUCT((Брони!$B$2:$B$500=B966)*(Брони!$D$2:$D$500=N966)*(((Брони!$F$2:$F$500="Выдана")+(Брони!$F$2:$F$500="Возвращена"))))</f>
        <v/>
      </c>
      <c r="Q966" s="10" t="n"/>
    </row>
    <row r="967">
      <c r="A967" s="11" t="n"/>
      <c r="B967" s="10" t="n"/>
      <c r="C967" s="10" t="n"/>
      <c r="D967" s="14" t="n"/>
      <c r="E967" s="10" t="n"/>
      <c r="F967" s="20">
        <f>IF(OR(A967="",B967=""),"",IF(OR(NOT(ISNUMBER(A967)),ISERROR(N967+O967+P967)),"Проверьте даты",IF(AND(N967&gt;0,P967&gt;1),"Дубль",IF(AND(N967&gt;0,O967&gt;0),O967,"Вне аренды"))))</f>
        <v/>
      </c>
      <c r="G967" s="12">
        <f>IF(ISNUMBER(F967),IFERROR(INDEX(Брони!$C$2:$C$500,MATCH(F967,Брони!$A$2:$A$500,0)),""),"")</f>
        <v/>
      </c>
      <c r="H967" s="10" t="n"/>
      <c r="I967" s="18" t="n"/>
      <c r="J967" s="12">
        <f>IF(AND(ISNUMBER(F967),I967&lt;&gt;""),IFERROR(IF(AND(INDEX(Брони!$F$2:$F$500,MATCH(F967,Брони!$A$2:$A$500,0))="Возвращена",I967&gt;INDEX(Брони!$E$2:$E$500,MATCH(F967,Брони!$A$2:$A$500,0))),"Да",""),""),"")</f>
        <v/>
      </c>
      <c r="K967" s="10" t="n"/>
      <c r="L967" s="14" t="n"/>
      <c r="M967" s="15">
        <f>IF(OR(A967="",B967=""),"",IF(AND(ISNUMBER(F967),H967&lt;&gt;"Компания"),D967+L967,0))</f>
        <v/>
      </c>
      <c r="N967" s="21">
        <f>SUMPRODUCT(MAX((Брони!$B$2:$B$500=B967)*((Брони!$F$2:$F$500="Выдана")+(Брони!$F$2:$F$500="Возвращена"))*(Брони!$D$2:$D$500&lt;=A967)*Брони!$D$2:$D$500))</f>
        <v/>
      </c>
      <c r="O967" s="19">
        <f>SUMPRODUCT((Брони!$B$2:$B$500=B967)*(Брони!$D$2:$D$500=N967)*((((Брони!$F$2:$F$500="Выдана")*NOW())+((Брони!$F$2:$F$500="Возвращена")*Брони!$E$2:$E$500))&gt;=A967)*Брони!$A$2:$A$500)</f>
        <v/>
      </c>
      <c r="P967" s="19">
        <f>SUMPRODUCT((Брони!$B$2:$B$500=B967)*(Брони!$D$2:$D$500=N967)*(((Брони!$F$2:$F$500="Выдана")+(Брони!$F$2:$F$500="Возвращена"))))</f>
        <v/>
      </c>
      <c r="Q967" s="10" t="n"/>
    </row>
    <row r="968">
      <c r="A968" s="11" t="n"/>
      <c r="B968" s="10" t="n"/>
      <c r="C968" s="10" t="n"/>
      <c r="D968" s="14" t="n"/>
      <c r="E968" s="10" t="n"/>
      <c r="F968" s="20">
        <f>IF(OR(A968="",B968=""),"",IF(OR(NOT(ISNUMBER(A968)),ISERROR(N968+O968+P968)),"Проверьте даты",IF(AND(N968&gt;0,P968&gt;1),"Дубль",IF(AND(N968&gt;0,O968&gt;0),O968,"Вне аренды"))))</f>
        <v/>
      </c>
      <c r="G968" s="12">
        <f>IF(ISNUMBER(F968),IFERROR(INDEX(Брони!$C$2:$C$500,MATCH(F968,Брони!$A$2:$A$500,0)),""),"")</f>
        <v/>
      </c>
      <c r="H968" s="10" t="n"/>
      <c r="I968" s="18" t="n"/>
      <c r="J968" s="12">
        <f>IF(AND(ISNUMBER(F968),I968&lt;&gt;""),IFERROR(IF(AND(INDEX(Брони!$F$2:$F$500,MATCH(F968,Брони!$A$2:$A$500,0))="Возвращена",I968&gt;INDEX(Брони!$E$2:$E$500,MATCH(F968,Брони!$A$2:$A$500,0))),"Да",""),""),"")</f>
        <v/>
      </c>
      <c r="K968" s="10" t="n"/>
      <c r="L968" s="14" t="n"/>
      <c r="M968" s="15">
        <f>IF(OR(A968="",B968=""),"",IF(AND(ISNUMBER(F968),H968&lt;&gt;"Компания"),D968+L968,0))</f>
        <v/>
      </c>
      <c r="N968" s="21">
        <f>SUMPRODUCT(MAX((Брони!$B$2:$B$500=B968)*((Брони!$F$2:$F$500="Выдана")+(Брони!$F$2:$F$500="Возвращена"))*(Брони!$D$2:$D$500&lt;=A968)*Брони!$D$2:$D$500))</f>
        <v/>
      </c>
      <c r="O968" s="19">
        <f>SUMPRODUCT((Брони!$B$2:$B$500=B968)*(Брони!$D$2:$D$500=N968)*((((Брони!$F$2:$F$500="Выдана")*NOW())+((Брони!$F$2:$F$500="Возвращена")*Брони!$E$2:$E$500))&gt;=A968)*Брони!$A$2:$A$500)</f>
        <v/>
      </c>
      <c r="P968" s="19">
        <f>SUMPRODUCT((Брони!$B$2:$B$500=B968)*(Брони!$D$2:$D$500=N968)*(((Брони!$F$2:$F$500="Выдана")+(Брони!$F$2:$F$500="Возвращена"))))</f>
        <v/>
      </c>
      <c r="Q968" s="10" t="n"/>
    </row>
    <row r="969">
      <c r="A969" s="11" t="n"/>
      <c r="B969" s="10" t="n"/>
      <c r="C969" s="10" t="n"/>
      <c r="D969" s="14" t="n"/>
      <c r="E969" s="10" t="n"/>
      <c r="F969" s="20">
        <f>IF(OR(A969="",B969=""),"",IF(OR(NOT(ISNUMBER(A969)),ISERROR(N969+O969+P969)),"Проверьте даты",IF(AND(N969&gt;0,P969&gt;1),"Дубль",IF(AND(N969&gt;0,O969&gt;0),O969,"Вне аренды"))))</f>
        <v/>
      </c>
      <c r="G969" s="12">
        <f>IF(ISNUMBER(F969),IFERROR(INDEX(Брони!$C$2:$C$500,MATCH(F969,Брони!$A$2:$A$500,0)),""),"")</f>
        <v/>
      </c>
      <c r="H969" s="10" t="n"/>
      <c r="I969" s="18" t="n"/>
      <c r="J969" s="12">
        <f>IF(AND(ISNUMBER(F969),I969&lt;&gt;""),IFERROR(IF(AND(INDEX(Брони!$F$2:$F$500,MATCH(F969,Брони!$A$2:$A$500,0))="Возвращена",I969&gt;INDEX(Брони!$E$2:$E$500,MATCH(F969,Брони!$A$2:$A$500,0))),"Да",""),""),"")</f>
        <v/>
      </c>
      <c r="K969" s="10" t="n"/>
      <c r="L969" s="14" t="n"/>
      <c r="M969" s="15">
        <f>IF(OR(A969="",B969=""),"",IF(AND(ISNUMBER(F969),H969&lt;&gt;"Компания"),D969+L969,0))</f>
        <v/>
      </c>
      <c r="N969" s="21">
        <f>SUMPRODUCT(MAX((Брони!$B$2:$B$500=B969)*((Брони!$F$2:$F$500="Выдана")+(Брони!$F$2:$F$500="Возвращена"))*(Брони!$D$2:$D$500&lt;=A969)*Брони!$D$2:$D$500))</f>
        <v/>
      </c>
      <c r="O969" s="19">
        <f>SUMPRODUCT((Брони!$B$2:$B$500=B969)*(Брони!$D$2:$D$500=N969)*((((Брони!$F$2:$F$500="Выдана")*NOW())+((Брони!$F$2:$F$500="Возвращена")*Брони!$E$2:$E$500))&gt;=A969)*Брони!$A$2:$A$500)</f>
        <v/>
      </c>
      <c r="P969" s="19">
        <f>SUMPRODUCT((Брони!$B$2:$B$500=B969)*(Брони!$D$2:$D$500=N969)*(((Брони!$F$2:$F$500="Выдана")+(Брони!$F$2:$F$500="Возвращена"))))</f>
        <v/>
      </c>
      <c r="Q969" s="10" t="n"/>
    </row>
    <row r="970">
      <c r="A970" s="11" t="n"/>
      <c r="B970" s="10" t="n"/>
      <c r="C970" s="10" t="n"/>
      <c r="D970" s="14" t="n"/>
      <c r="E970" s="10" t="n"/>
      <c r="F970" s="20">
        <f>IF(OR(A970="",B970=""),"",IF(OR(NOT(ISNUMBER(A970)),ISERROR(N970+O970+P970)),"Проверьте даты",IF(AND(N970&gt;0,P970&gt;1),"Дубль",IF(AND(N970&gt;0,O970&gt;0),O970,"Вне аренды"))))</f>
        <v/>
      </c>
      <c r="G970" s="12">
        <f>IF(ISNUMBER(F970),IFERROR(INDEX(Брони!$C$2:$C$500,MATCH(F970,Брони!$A$2:$A$500,0)),""),"")</f>
        <v/>
      </c>
      <c r="H970" s="10" t="n"/>
      <c r="I970" s="18" t="n"/>
      <c r="J970" s="12">
        <f>IF(AND(ISNUMBER(F970),I970&lt;&gt;""),IFERROR(IF(AND(INDEX(Брони!$F$2:$F$500,MATCH(F970,Брони!$A$2:$A$500,0))="Возвращена",I970&gt;INDEX(Брони!$E$2:$E$500,MATCH(F970,Брони!$A$2:$A$500,0))),"Да",""),""),"")</f>
        <v/>
      </c>
      <c r="K970" s="10" t="n"/>
      <c r="L970" s="14" t="n"/>
      <c r="M970" s="15">
        <f>IF(OR(A970="",B970=""),"",IF(AND(ISNUMBER(F970),H970&lt;&gt;"Компания"),D970+L970,0))</f>
        <v/>
      </c>
      <c r="N970" s="21">
        <f>SUMPRODUCT(MAX((Брони!$B$2:$B$500=B970)*((Брони!$F$2:$F$500="Выдана")+(Брони!$F$2:$F$500="Возвращена"))*(Брони!$D$2:$D$500&lt;=A970)*Брони!$D$2:$D$500))</f>
        <v/>
      </c>
      <c r="O970" s="19">
        <f>SUMPRODUCT((Брони!$B$2:$B$500=B970)*(Брони!$D$2:$D$500=N970)*((((Брони!$F$2:$F$500="Выдана")*NOW())+((Брони!$F$2:$F$500="Возвращена")*Брони!$E$2:$E$500))&gt;=A970)*Брони!$A$2:$A$500)</f>
        <v/>
      </c>
      <c r="P970" s="19">
        <f>SUMPRODUCT((Брони!$B$2:$B$500=B970)*(Брони!$D$2:$D$500=N970)*(((Брони!$F$2:$F$500="Выдана")+(Брони!$F$2:$F$500="Возвращена"))))</f>
        <v/>
      </c>
      <c r="Q970" s="10" t="n"/>
    </row>
    <row r="971">
      <c r="A971" s="11" t="n"/>
      <c r="B971" s="10" t="n"/>
      <c r="C971" s="10" t="n"/>
      <c r="D971" s="14" t="n"/>
      <c r="E971" s="10" t="n"/>
      <c r="F971" s="20">
        <f>IF(OR(A971="",B971=""),"",IF(OR(NOT(ISNUMBER(A971)),ISERROR(N971+O971+P971)),"Проверьте даты",IF(AND(N971&gt;0,P971&gt;1),"Дубль",IF(AND(N971&gt;0,O971&gt;0),O971,"Вне аренды"))))</f>
        <v/>
      </c>
      <c r="G971" s="12">
        <f>IF(ISNUMBER(F971),IFERROR(INDEX(Брони!$C$2:$C$500,MATCH(F971,Брони!$A$2:$A$500,0)),""),"")</f>
        <v/>
      </c>
      <c r="H971" s="10" t="n"/>
      <c r="I971" s="18" t="n"/>
      <c r="J971" s="12">
        <f>IF(AND(ISNUMBER(F971),I971&lt;&gt;""),IFERROR(IF(AND(INDEX(Брони!$F$2:$F$500,MATCH(F971,Брони!$A$2:$A$500,0))="Возвращена",I971&gt;INDEX(Брони!$E$2:$E$500,MATCH(F971,Брони!$A$2:$A$500,0))),"Да",""),""),"")</f>
        <v/>
      </c>
      <c r="K971" s="10" t="n"/>
      <c r="L971" s="14" t="n"/>
      <c r="M971" s="15">
        <f>IF(OR(A971="",B971=""),"",IF(AND(ISNUMBER(F971),H971&lt;&gt;"Компания"),D971+L971,0))</f>
        <v/>
      </c>
      <c r="N971" s="21">
        <f>SUMPRODUCT(MAX((Брони!$B$2:$B$500=B971)*((Брони!$F$2:$F$500="Выдана")+(Брони!$F$2:$F$500="Возвращена"))*(Брони!$D$2:$D$500&lt;=A971)*Брони!$D$2:$D$500))</f>
        <v/>
      </c>
      <c r="O971" s="19">
        <f>SUMPRODUCT((Брони!$B$2:$B$500=B971)*(Брони!$D$2:$D$500=N971)*((((Брони!$F$2:$F$500="Выдана")*NOW())+((Брони!$F$2:$F$500="Возвращена")*Брони!$E$2:$E$500))&gt;=A971)*Брони!$A$2:$A$500)</f>
        <v/>
      </c>
      <c r="P971" s="19">
        <f>SUMPRODUCT((Брони!$B$2:$B$500=B971)*(Брони!$D$2:$D$500=N971)*(((Брони!$F$2:$F$500="Выдана")+(Брони!$F$2:$F$500="Возвращена"))))</f>
        <v/>
      </c>
      <c r="Q971" s="10" t="n"/>
    </row>
    <row r="972">
      <c r="A972" s="11" t="n"/>
      <c r="B972" s="10" t="n"/>
      <c r="C972" s="10" t="n"/>
      <c r="D972" s="14" t="n"/>
      <c r="E972" s="10" t="n"/>
      <c r="F972" s="20">
        <f>IF(OR(A972="",B972=""),"",IF(OR(NOT(ISNUMBER(A972)),ISERROR(N972+O972+P972)),"Проверьте даты",IF(AND(N972&gt;0,P972&gt;1),"Дубль",IF(AND(N972&gt;0,O972&gt;0),O972,"Вне аренды"))))</f>
        <v/>
      </c>
      <c r="G972" s="12">
        <f>IF(ISNUMBER(F972),IFERROR(INDEX(Брони!$C$2:$C$500,MATCH(F972,Брони!$A$2:$A$500,0)),""),"")</f>
        <v/>
      </c>
      <c r="H972" s="10" t="n"/>
      <c r="I972" s="18" t="n"/>
      <c r="J972" s="12">
        <f>IF(AND(ISNUMBER(F972),I972&lt;&gt;""),IFERROR(IF(AND(INDEX(Брони!$F$2:$F$500,MATCH(F972,Брони!$A$2:$A$500,0))="Возвращена",I972&gt;INDEX(Брони!$E$2:$E$500,MATCH(F972,Брони!$A$2:$A$500,0))),"Да",""),""),"")</f>
        <v/>
      </c>
      <c r="K972" s="10" t="n"/>
      <c r="L972" s="14" t="n"/>
      <c r="M972" s="15">
        <f>IF(OR(A972="",B972=""),"",IF(AND(ISNUMBER(F972),H972&lt;&gt;"Компания"),D972+L972,0))</f>
        <v/>
      </c>
      <c r="N972" s="21">
        <f>SUMPRODUCT(MAX((Брони!$B$2:$B$500=B972)*((Брони!$F$2:$F$500="Выдана")+(Брони!$F$2:$F$500="Возвращена"))*(Брони!$D$2:$D$500&lt;=A972)*Брони!$D$2:$D$500))</f>
        <v/>
      </c>
      <c r="O972" s="19">
        <f>SUMPRODUCT((Брони!$B$2:$B$500=B972)*(Брони!$D$2:$D$500=N972)*((((Брони!$F$2:$F$500="Выдана")*NOW())+((Брони!$F$2:$F$500="Возвращена")*Брони!$E$2:$E$500))&gt;=A972)*Брони!$A$2:$A$500)</f>
        <v/>
      </c>
      <c r="P972" s="19">
        <f>SUMPRODUCT((Брони!$B$2:$B$500=B972)*(Брони!$D$2:$D$500=N972)*(((Брони!$F$2:$F$500="Выдана")+(Брони!$F$2:$F$500="Возвращена"))))</f>
        <v/>
      </c>
      <c r="Q972" s="10" t="n"/>
    </row>
    <row r="973">
      <c r="A973" s="11" t="n"/>
      <c r="B973" s="10" t="n"/>
      <c r="C973" s="10" t="n"/>
      <c r="D973" s="14" t="n"/>
      <c r="E973" s="10" t="n"/>
      <c r="F973" s="20">
        <f>IF(OR(A973="",B973=""),"",IF(OR(NOT(ISNUMBER(A973)),ISERROR(N973+O973+P973)),"Проверьте даты",IF(AND(N973&gt;0,P973&gt;1),"Дубль",IF(AND(N973&gt;0,O973&gt;0),O973,"Вне аренды"))))</f>
        <v/>
      </c>
      <c r="G973" s="12">
        <f>IF(ISNUMBER(F973),IFERROR(INDEX(Брони!$C$2:$C$500,MATCH(F973,Брони!$A$2:$A$500,0)),""),"")</f>
        <v/>
      </c>
      <c r="H973" s="10" t="n"/>
      <c r="I973" s="18" t="n"/>
      <c r="J973" s="12">
        <f>IF(AND(ISNUMBER(F973),I973&lt;&gt;""),IFERROR(IF(AND(INDEX(Брони!$F$2:$F$500,MATCH(F973,Брони!$A$2:$A$500,0))="Возвращена",I973&gt;INDEX(Брони!$E$2:$E$500,MATCH(F973,Брони!$A$2:$A$500,0))),"Да",""),""),"")</f>
        <v/>
      </c>
      <c r="K973" s="10" t="n"/>
      <c r="L973" s="14" t="n"/>
      <c r="M973" s="15">
        <f>IF(OR(A973="",B973=""),"",IF(AND(ISNUMBER(F973),H973&lt;&gt;"Компания"),D973+L973,0))</f>
        <v/>
      </c>
      <c r="N973" s="21">
        <f>SUMPRODUCT(MAX((Брони!$B$2:$B$500=B973)*((Брони!$F$2:$F$500="Выдана")+(Брони!$F$2:$F$500="Возвращена"))*(Брони!$D$2:$D$500&lt;=A973)*Брони!$D$2:$D$500))</f>
        <v/>
      </c>
      <c r="O973" s="19">
        <f>SUMPRODUCT((Брони!$B$2:$B$500=B973)*(Брони!$D$2:$D$500=N973)*((((Брони!$F$2:$F$500="Выдана")*NOW())+((Брони!$F$2:$F$500="Возвращена")*Брони!$E$2:$E$500))&gt;=A973)*Брони!$A$2:$A$500)</f>
        <v/>
      </c>
      <c r="P973" s="19">
        <f>SUMPRODUCT((Брони!$B$2:$B$500=B973)*(Брони!$D$2:$D$500=N973)*(((Брони!$F$2:$F$500="Выдана")+(Брони!$F$2:$F$500="Возвращена"))))</f>
        <v/>
      </c>
      <c r="Q973" s="10" t="n"/>
    </row>
    <row r="974">
      <c r="A974" s="11" t="n"/>
      <c r="B974" s="10" t="n"/>
      <c r="C974" s="10" t="n"/>
      <c r="D974" s="14" t="n"/>
      <c r="E974" s="10" t="n"/>
      <c r="F974" s="20">
        <f>IF(OR(A974="",B974=""),"",IF(OR(NOT(ISNUMBER(A974)),ISERROR(N974+O974+P974)),"Проверьте даты",IF(AND(N974&gt;0,P974&gt;1),"Дубль",IF(AND(N974&gt;0,O974&gt;0),O974,"Вне аренды"))))</f>
        <v/>
      </c>
      <c r="G974" s="12">
        <f>IF(ISNUMBER(F974),IFERROR(INDEX(Брони!$C$2:$C$500,MATCH(F974,Брони!$A$2:$A$500,0)),""),"")</f>
        <v/>
      </c>
      <c r="H974" s="10" t="n"/>
      <c r="I974" s="18" t="n"/>
      <c r="J974" s="12">
        <f>IF(AND(ISNUMBER(F974),I974&lt;&gt;""),IFERROR(IF(AND(INDEX(Брони!$F$2:$F$500,MATCH(F974,Брони!$A$2:$A$500,0))="Возвращена",I974&gt;INDEX(Брони!$E$2:$E$500,MATCH(F974,Брони!$A$2:$A$500,0))),"Да",""),""),"")</f>
        <v/>
      </c>
      <c r="K974" s="10" t="n"/>
      <c r="L974" s="14" t="n"/>
      <c r="M974" s="15">
        <f>IF(OR(A974="",B974=""),"",IF(AND(ISNUMBER(F974),H974&lt;&gt;"Компания"),D974+L974,0))</f>
        <v/>
      </c>
      <c r="N974" s="21">
        <f>SUMPRODUCT(MAX((Брони!$B$2:$B$500=B974)*((Брони!$F$2:$F$500="Выдана")+(Брони!$F$2:$F$500="Возвращена"))*(Брони!$D$2:$D$500&lt;=A974)*Брони!$D$2:$D$500))</f>
        <v/>
      </c>
      <c r="O974" s="19">
        <f>SUMPRODUCT((Брони!$B$2:$B$500=B974)*(Брони!$D$2:$D$500=N974)*((((Брони!$F$2:$F$500="Выдана")*NOW())+((Брони!$F$2:$F$500="Возвращена")*Брони!$E$2:$E$500))&gt;=A974)*Брони!$A$2:$A$500)</f>
        <v/>
      </c>
      <c r="P974" s="19">
        <f>SUMPRODUCT((Брони!$B$2:$B$500=B974)*(Брони!$D$2:$D$500=N974)*(((Брони!$F$2:$F$500="Выдана")+(Брони!$F$2:$F$500="Возвращена"))))</f>
        <v/>
      </c>
      <c r="Q974" s="10" t="n"/>
    </row>
    <row r="975">
      <c r="A975" s="11" t="n"/>
      <c r="B975" s="10" t="n"/>
      <c r="C975" s="10" t="n"/>
      <c r="D975" s="14" t="n"/>
      <c r="E975" s="10" t="n"/>
      <c r="F975" s="20">
        <f>IF(OR(A975="",B975=""),"",IF(OR(NOT(ISNUMBER(A975)),ISERROR(N975+O975+P975)),"Проверьте даты",IF(AND(N975&gt;0,P975&gt;1),"Дубль",IF(AND(N975&gt;0,O975&gt;0),O975,"Вне аренды"))))</f>
        <v/>
      </c>
      <c r="G975" s="12">
        <f>IF(ISNUMBER(F975),IFERROR(INDEX(Брони!$C$2:$C$500,MATCH(F975,Брони!$A$2:$A$500,0)),""),"")</f>
        <v/>
      </c>
      <c r="H975" s="10" t="n"/>
      <c r="I975" s="18" t="n"/>
      <c r="J975" s="12">
        <f>IF(AND(ISNUMBER(F975),I975&lt;&gt;""),IFERROR(IF(AND(INDEX(Брони!$F$2:$F$500,MATCH(F975,Брони!$A$2:$A$500,0))="Возвращена",I975&gt;INDEX(Брони!$E$2:$E$500,MATCH(F975,Брони!$A$2:$A$500,0))),"Да",""),""),"")</f>
        <v/>
      </c>
      <c r="K975" s="10" t="n"/>
      <c r="L975" s="14" t="n"/>
      <c r="M975" s="15">
        <f>IF(OR(A975="",B975=""),"",IF(AND(ISNUMBER(F975),H975&lt;&gt;"Компания"),D975+L975,0))</f>
        <v/>
      </c>
      <c r="N975" s="21">
        <f>SUMPRODUCT(MAX((Брони!$B$2:$B$500=B975)*((Брони!$F$2:$F$500="Выдана")+(Брони!$F$2:$F$500="Возвращена"))*(Брони!$D$2:$D$500&lt;=A975)*Брони!$D$2:$D$500))</f>
        <v/>
      </c>
      <c r="O975" s="19">
        <f>SUMPRODUCT((Брони!$B$2:$B$500=B975)*(Брони!$D$2:$D$500=N975)*((((Брони!$F$2:$F$500="Выдана")*NOW())+((Брони!$F$2:$F$500="Возвращена")*Брони!$E$2:$E$500))&gt;=A975)*Брони!$A$2:$A$500)</f>
        <v/>
      </c>
      <c r="P975" s="19">
        <f>SUMPRODUCT((Брони!$B$2:$B$500=B975)*(Брони!$D$2:$D$500=N975)*(((Брони!$F$2:$F$500="Выдана")+(Брони!$F$2:$F$500="Возвращена"))))</f>
        <v/>
      </c>
      <c r="Q975" s="10" t="n"/>
    </row>
    <row r="976">
      <c r="A976" s="11" t="n"/>
      <c r="B976" s="10" t="n"/>
      <c r="C976" s="10" t="n"/>
      <c r="D976" s="14" t="n"/>
      <c r="E976" s="10" t="n"/>
      <c r="F976" s="20">
        <f>IF(OR(A976="",B976=""),"",IF(OR(NOT(ISNUMBER(A976)),ISERROR(N976+O976+P976)),"Проверьте даты",IF(AND(N976&gt;0,P976&gt;1),"Дубль",IF(AND(N976&gt;0,O976&gt;0),O976,"Вне аренды"))))</f>
        <v/>
      </c>
      <c r="G976" s="12">
        <f>IF(ISNUMBER(F976),IFERROR(INDEX(Брони!$C$2:$C$500,MATCH(F976,Брони!$A$2:$A$500,0)),""),"")</f>
        <v/>
      </c>
      <c r="H976" s="10" t="n"/>
      <c r="I976" s="18" t="n"/>
      <c r="J976" s="12">
        <f>IF(AND(ISNUMBER(F976),I976&lt;&gt;""),IFERROR(IF(AND(INDEX(Брони!$F$2:$F$500,MATCH(F976,Брони!$A$2:$A$500,0))="Возвращена",I976&gt;INDEX(Брони!$E$2:$E$500,MATCH(F976,Брони!$A$2:$A$500,0))),"Да",""),""),"")</f>
        <v/>
      </c>
      <c r="K976" s="10" t="n"/>
      <c r="L976" s="14" t="n"/>
      <c r="M976" s="15">
        <f>IF(OR(A976="",B976=""),"",IF(AND(ISNUMBER(F976),H976&lt;&gt;"Компания"),D976+L976,0))</f>
        <v/>
      </c>
      <c r="N976" s="21">
        <f>SUMPRODUCT(MAX((Брони!$B$2:$B$500=B976)*((Брони!$F$2:$F$500="Выдана")+(Брони!$F$2:$F$500="Возвращена"))*(Брони!$D$2:$D$500&lt;=A976)*Брони!$D$2:$D$500))</f>
        <v/>
      </c>
      <c r="O976" s="19">
        <f>SUMPRODUCT((Брони!$B$2:$B$500=B976)*(Брони!$D$2:$D$500=N976)*((((Брони!$F$2:$F$500="Выдана")*NOW())+((Брони!$F$2:$F$500="Возвращена")*Брони!$E$2:$E$500))&gt;=A976)*Брони!$A$2:$A$500)</f>
        <v/>
      </c>
      <c r="P976" s="19">
        <f>SUMPRODUCT((Брони!$B$2:$B$500=B976)*(Брони!$D$2:$D$500=N976)*(((Брони!$F$2:$F$500="Выдана")+(Брони!$F$2:$F$500="Возвращена"))))</f>
        <v/>
      </c>
      <c r="Q976" s="10" t="n"/>
    </row>
    <row r="977">
      <c r="A977" s="11" t="n"/>
      <c r="B977" s="10" t="n"/>
      <c r="C977" s="10" t="n"/>
      <c r="D977" s="14" t="n"/>
      <c r="E977" s="10" t="n"/>
      <c r="F977" s="20">
        <f>IF(OR(A977="",B977=""),"",IF(OR(NOT(ISNUMBER(A977)),ISERROR(N977+O977+P977)),"Проверьте даты",IF(AND(N977&gt;0,P977&gt;1),"Дубль",IF(AND(N977&gt;0,O977&gt;0),O977,"Вне аренды"))))</f>
        <v/>
      </c>
      <c r="G977" s="12">
        <f>IF(ISNUMBER(F977),IFERROR(INDEX(Брони!$C$2:$C$500,MATCH(F977,Брони!$A$2:$A$500,0)),""),"")</f>
        <v/>
      </c>
      <c r="H977" s="10" t="n"/>
      <c r="I977" s="18" t="n"/>
      <c r="J977" s="12">
        <f>IF(AND(ISNUMBER(F977),I977&lt;&gt;""),IFERROR(IF(AND(INDEX(Брони!$F$2:$F$500,MATCH(F977,Брони!$A$2:$A$500,0))="Возвращена",I977&gt;INDEX(Брони!$E$2:$E$500,MATCH(F977,Брони!$A$2:$A$500,0))),"Да",""),""),"")</f>
        <v/>
      </c>
      <c r="K977" s="10" t="n"/>
      <c r="L977" s="14" t="n"/>
      <c r="M977" s="15">
        <f>IF(OR(A977="",B977=""),"",IF(AND(ISNUMBER(F977),H977&lt;&gt;"Компания"),D977+L977,0))</f>
        <v/>
      </c>
      <c r="N977" s="21">
        <f>SUMPRODUCT(MAX((Брони!$B$2:$B$500=B977)*((Брони!$F$2:$F$500="Выдана")+(Брони!$F$2:$F$500="Возвращена"))*(Брони!$D$2:$D$500&lt;=A977)*Брони!$D$2:$D$500))</f>
        <v/>
      </c>
      <c r="O977" s="19">
        <f>SUMPRODUCT((Брони!$B$2:$B$500=B977)*(Брони!$D$2:$D$500=N977)*((((Брони!$F$2:$F$500="Выдана")*NOW())+((Брони!$F$2:$F$500="Возвращена")*Брони!$E$2:$E$500))&gt;=A977)*Брони!$A$2:$A$500)</f>
        <v/>
      </c>
      <c r="P977" s="19">
        <f>SUMPRODUCT((Брони!$B$2:$B$500=B977)*(Брони!$D$2:$D$500=N977)*(((Брони!$F$2:$F$500="Выдана")+(Брони!$F$2:$F$500="Возвращена"))))</f>
        <v/>
      </c>
      <c r="Q977" s="10" t="n"/>
    </row>
    <row r="978">
      <c r="A978" s="11" t="n"/>
      <c r="B978" s="10" t="n"/>
      <c r="C978" s="10" t="n"/>
      <c r="D978" s="14" t="n"/>
      <c r="E978" s="10" t="n"/>
      <c r="F978" s="20">
        <f>IF(OR(A978="",B978=""),"",IF(OR(NOT(ISNUMBER(A978)),ISERROR(N978+O978+P978)),"Проверьте даты",IF(AND(N978&gt;0,P978&gt;1),"Дубль",IF(AND(N978&gt;0,O978&gt;0),O978,"Вне аренды"))))</f>
        <v/>
      </c>
      <c r="G978" s="12">
        <f>IF(ISNUMBER(F978),IFERROR(INDEX(Брони!$C$2:$C$500,MATCH(F978,Брони!$A$2:$A$500,0)),""),"")</f>
        <v/>
      </c>
      <c r="H978" s="10" t="n"/>
      <c r="I978" s="18" t="n"/>
      <c r="J978" s="12">
        <f>IF(AND(ISNUMBER(F978),I978&lt;&gt;""),IFERROR(IF(AND(INDEX(Брони!$F$2:$F$500,MATCH(F978,Брони!$A$2:$A$500,0))="Возвращена",I978&gt;INDEX(Брони!$E$2:$E$500,MATCH(F978,Брони!$A$2:$A$500,0))),"Да",""),""),"")</f>
        <v/>
      </c>
      <c r="K978" s="10" t="n"/>
      <c r="L978" s="14" t="n"/>
      <c r="M978" s="15">
        <f>IF(OR(A978="",B978=""),"",IF(AND(ISNUMBER(F978),H978&lt;&gt;"Компания"),D978+L978,0))</f>
        <v/>
      </c>
      <c r="N978" s="21">
        <f>SUMPRODUCT(MAX((Брони!$B$2:$B$500=B978)*((Брони!$F$2:$F$500="Выдана")+(Брони!$F$2:$F$500="Возвращена"))*(Брони!$D$2:$D$500&lt;=A978)*Брони!$D$2:$D$500))</f>
        <v/>
      </c>
      <c r="O978" s="19">
        <f>SUMPRODUCT((Брони!$B$2:$B$500=B978)*(Брони!$D$2:$D$500=N978)*((((Брони!$F$2:$F$500="Выдана")*NOW())+((Брони!$F$2:$F$500="Возвращена")*Брони!$E$2:$E$500))&gt;=A978)*Брони!$A$2:$A$500)</f>
        <v/>
      </c>
      <c r="P978" s="19">
        <f>SUMPRODUCT((Брони!$B$2:$B$500=B978)*(Брони!$D$2:$D$500=N978)*(((Брони!$F$2:$F$500="Выдана")+(Брони!$F$2:$F$500="Возвращена"))))</f>
        <v/>
      </c>
      <c r="Q978" s="10" t="n"/>
    </row>
    <row r="979">
      <c r="A979" s="11" t="n"/>
      <c r="B979" s="10" t="n"/>
      <c r="C979" s="10" t="n"/>
      <c r="D979" s="14" t="n"/>
      <c r="E979" s="10" t="n"/>
      <c r="F979" s="20">
        <f>IF(OR(A979="",B979=""),"",IF(OR(NOT(ISNUMBER(A979)),ISERROR(N979+O979+P979)),"Проверьте даты",IF(AND(N979&gt;0,P979&gt;1),"Дубль",IF(AND(N979&gt;0,O979&gt;0),O979,"Вне аренды"))))</f>
        <v/>
      </c>
      <c r="G979" s="12">
        <f>IF(ISNUMBER(F979),IFERROR(INDEX(Брони!$C$2:$C$500,MATCH(F979,Брони!$A$2:$A$500,0)),""),"")</f>
        <v/>
      </c>
      <c r="H979" s="10" t="n"/>
      <c r="I979" s="18" t="n"/>
      <c r="J979" s="12">
        <f>IF(AND(ISNUMBER(F979),I979&lt;&gt;""),IFERROR(IF(AND(INDEX(Брони!$F$2:$F$500,MATCH(F979,Брони!$A$2:$A$500,0))="Возвращена",I979&gt;INDEX(Брони!$E$2:$E$500,MATCH(F979,Брони!$A$2:$A$500,0))),"Да",""),""),"")</f>
        <v/>
      </c>
      <c r="K979" s="10" t="n"/>
      <c r="L979" s="14" t="n"/>
      <c r="M979" s="15">
        <f>IF(OR(A979="",B979=""),"",IF(AND(ISNUMBER(F979),H979&lt;&gt;"Компания"),D979+L979,0))</f>
        <v/>
      </c>
      <c r="N979" s="21">
        <f>SUMPRODUCT(MAX((Брони!$B$2:$B$500=B979)*((Брони!$F$2:$F$500="Выдана")+(Брони!$F$2:$F$500="Возвращена"))*(Брони!$D$2:$D$500&lt;=A979)*Брони!$D$2:$D$500))</f>
        <v/>
      </c>
      <c r="O979" s="19">
        <f>SUMPRODUCT((Брони!$B$2:$B$500=B979)*(Брони!$D$2:$D$500=N979)*((((Брони!$F$2:$F$500="Выдана")*NOW())+((Брони!$F$2:$F$500="Возвращена")*Брони!$E$2:$E$500))&gt;=A979)*Брони!$A$2:$A$500)</f>
        <v/>
      </c>
      <c r="P979" s="19">
        <f>SUMPRODUCT((Брони!$B$2:$B$500=B979)*(Брони!$D$2:$D$500=N979)*(((Брони!$F$2:$F$500="Выдана")+(Брони!$F$2:$F$500="Возвращена"))))</f>
        <v/>
      </c>
      <c r="Q979" s="10" t="n"/>
    </row>
    <row r="980">
      <c r="A980" s="11" t="n"/>
      <c r="B980" s="10" t="n"/>
      <c r="C980" s="10" t="n"/>
      <c r="D980" s="14" t="n"/>
      <c r="E980" s="10" t="n"/>
      <c r="F980" s="20">
        <f>IF(OR(A980="",B980=""),"",IF(OR(NOT(ISNUMBER(A980)),ISERROR(N980+O980+P980)),"Проверьте даты",IF(AND(N980&gt;0,P980&gt;1),"Дубль",IF(AND(N980&gt;0,O980&gt;0),O980,"Вне аренды"))))</f>
        <v/>
      </c>
      <c r="G980" s="12">
        <f>IF(ISNUMBER(F980),IFERROR(INDEX(Брони!$C$2:$C$500,MATCH(F980,Брони!$A$2:$A$500,0)),""),"")</f>
        <v/>
      </c>
      <c r="H980" s="10" t="n"/>
      <c r="I980" s="18" t="n"/>
      <c r="J980" s="12">
        <f>IF(AND(ISNUMBER(F980),I980&lt;&gt;""),IFERROR(IF(AND(INDEX(Брони!$F$2:$F$500,MATCH(F980,Брони!$A$2:$A$500,0))="Возвращена",I980&gt;INDEX(Брони!$E$2:$E$500,MATCH(F980,Брони!$A$2:$A$500,0))),"Да",""),""),"")</f>
        <v/>
      </c>
      <c r="K980" s="10" t="n"/>
      <c r="L980" s="14" t="n"/>
      <c r="M980" s="15">
        <f>IF(OR(A980="",B980=""),"",IF(AND(ISNUMBER(F980),H980&lt;&gt;"Компания"),D980+L980,0))</f>
        <v/>
      </c>
      <c r="N980" s="21">
        <f>SUMPRODUCT(MAX((Брони!$B$2:$B$500=B980)*((Брони!$F$2:$F$500="Выдана")+(Брони!$F$2:$F$500="Возвращена"))*(Брони!$D$2:$D$500&lt;=A980)*Брони!$D$2:$D$500))</f>
        <v/>
      </c>
      <c r="O980" s="19">
        <f>SUMPRODUCT((Брони!$B$2:$B$500=B980)*(Брони!$D$2:$D$500=N980)*((((Брони!$F$2:$F$500="Выдана")*NOW())+((Брони!$F$2:$F$500="Возвращена")*Брони!$E$2:$E$500))&gt;=A980)*Брони!$A$2:$A$500)</f>
        <v/>
      </c>
      <c r="P980" s="19">
        <f>SUMPRODUCT((Брони!$B$2:$B$500=B980)*(Брони!$D$2:$D$500=N980)*(((Брони!$F$2:$F$500="Выдана")+(Брони!$F$2:$F$500="Возвращена"))))</f>
        <v/>
      </c>
      <c r="Q980" s="10" t="n"/>
    </row>
    <row r="981">
      <c r="A981" s="11" t="n"/>
      <c r="B981" s="10" t="n"/>
      <c r="C981" s="10" t="n"/>
      <c r="D981" s="14" t="n"/>
      <c r="E981" s="10" t="n"/>
      <c r="F981" s="20">
        <f>IF(OR(A981="",B981=""),"",IF(OR(NOT(ISNUMBER(A981)),ISERROR(N981+O981+P981)),"Проверьте даты",IF(AND(N981&gt;0,P981&gt;1),"Дубль",IF(AND(N981&gt;0,O981&gt;0),O981,"Вне аренды"))))</f>
        <v/>
      </c>
      <c r="G981" s="12">
        <f>IF(ISNUMBER(F981),IFERROR(INDEX(Брони!$C$2:$C$500,MATCH(F981,Брони!$A$2:$A$500,0)),""),"")</f>
        <v/>
      </c>
      <c r="H981" s="10" t="n"/>
      <c r="I981" s="18" t="n"/>
      <c r="J981" s="12">
        <f>IF(AND(ISNUMBER(F981),I981&lt;&gt;""),IFERROR(IF(AND(INDEX(Брони!$F$2:$F$500,MATCH(F981,Брони!$A$2:$A$500,0))="Возвращена",I981&gt;INDEX(Брони!$E$2:$E$500,MATCH(F981,Брони!$A$2:$A$500,0))),"Да",""),""),"")</f>
        <v/>
      </c>
      <c r="K981" s="10" t="n"/>
      <c r="L981" s="14" t="n"/>
      <c r="M981" s="15">
        <f>IF(OR(A981="",B981=""),"",IF(AND(ISNUMBER(F981),H981&lt;&gt;"Компания"),D981+L981,0))</f>
        <v/>
      </c>
      <c r="N981" s="21">
        <f>SUMPRODUCT(MAX((Брони!$B$2:$B$500=B981)*((Брони!$F$2:$F$500="Выдана")+(Брони!$F$2:$F$500="Возвращена"))*(Брони!$D$2:$D$500&lt;=A981)*Брони!$D$2:$D$500))</f>
        <v/>
      </c>
      <c r="O981" s="19">
        <f>SUMPRODUCT((Брони!$B$2:$B$500=B981)*(Брони!$D$2:$D$500=N981)*((((Брони!$F$2:$F$500="Выдана")*NOW())+((Брони!$F$2:$F$500="Возвращена")*Брони!$E$2:$E$500))&gt;=A981)*Брони!$A$2:$A$500)</f>
        <v/>
      </c>
      <c r="P981" s="19">
        <f>SUMPRODUCT((Брони!$B$2:$B$500=B981)*(Брони!$D$2:$D$500=N981)*(((Брони!$F$2:$F$500="Выдана")+(Брони!$F$2:$F$500="Возвращена"))))</f>
        <v/>
      </c>
      <c r="Q981" s="10" t="n"/>
    </row>
    <row r="982">
      <c r="A982" s="11" t="n"/>
      <c r="B982" s="10" t="n"/>
      <c r="C982" s="10" t="n"/>
      <c r="D982" s="14" t="n"/>
      <c r="E982" s="10" t="n"/>
      <c r="F982" s="20">
        <f>IF(OR(A982="",B982=""),"",IF(OR(NOT(ISNUMBER(A982)),ISERROR(N982+O982+P982)),"Проверьте даты",IF(AND(N982&gt;0,P982&gt;1),"Дубль",IF(AND(N982&gt;0,O982&gt;0),O982,"Вне аренды"))))</f>
        <v/>
      </c>
      <c r="G982" s="12">
        <f>IF(ISNUMBER(F982),IFERROR(INDEX(Брони!$C$2:$C$500,MATCH(F982,Брони!$A$2:$A$500,0)),""),"")</f>
        <v/>
      </c>
      <c r="H982" s="10" t="n"/>
      <c r="I982" s="18" t="n"/>
      <c r="J982" s="12">
        <f>IF(AND(ISNUMBER(F982),I982&lt;&gt;""),IFERROR(IF(AND(INDEX(Брони!$F$2:$F$500,MATCH(F982,Брони!$A$2:$A$500,0))="Возвращена",I982&gt;INDEX(Брони!$E$2:$E$500,MATCH(F982,Брони!$A$2:$A$500,0))),"Да",""),""),"")</f>
        <v/>
      </c>
      <c r="K982" s="10" t="n"/>
      <c r="L982" s="14" t="n"/>
      <c r="M982" s="15">
        <f>IF(OR(A982="",B982=""),"",IF(AND(ISNUMBER(F982),H982&lt;&gt;"Компания"),D982+L982,0))</f>
        <v/>
      </c>
      <c r="N982" s="21">
        <f>SUMPRODUCT(MAX((Брони!$B$2:$B$500=B982)*((Брони!$F$2:$F$500="Выдана")+(Брони!$F$2:$F$500="Возвращена"))*(Брони!$D$2:$D$500&lt;=A982)*Брони!$D$2:$D$500))</f>
        <v/>
      </c>
      <c r="O982" s="19">
        <f>SUMPRODUCT((Брони!$B$2:$B$500=B982)*(Брони!$D$2:$D$500=N982)*((((Брони!$F$2:$F$500="Выдана")*NOW())+((Брони!$F$2:$F$500="Возвращена")*Брони!$E$2:$E$500))&gt;=A982)*Брони!$A$2:$A$500)</f>
        <v/>
      </c>
      <c r="P982" s="19">
        <f>SUMPRODUCT((Брони!$B$2:$B$500=B982)*(Брони!$D$2:$D$500=N982)*(((Брони!$F$2:$F$500="Выдана")+(Брони!$F$2:$F$500="Возвращена"))))</f>
        <v/>
      </c>
      <c r="Q982" s="10" t="n"/>
    </row>
    <row r="983">
      <c r="A983" s="11" t="n"/>
      <c r="B983" s="10" t="n"/>
      <c r="C983" s="10" t="n"/>
      <c r="D983" s="14" t="n"/>
      <c r="E983" s="10" t="n"/>
      <c r="F983" s="20">
        <f>IF(OR(A983="",B983=""),"",IF(OR(NOT(ISNUMBER(A983)),ISERROR(N983+O983+P983)),"Проверьте даты",IF(AND(N983&gt;0,P983&gt;1),"Дубль",IF(AND(N983&gt;0,O983&gt;0),O983,"Вне аренды"))))</f>
        <v/>
      </c>
      <c r="G983" s="12">
        <f>IF(ISNUMBER(F983),IFERROR(INDEX(Брони!$C$2:$C$500,MATCH(F983,Брони!$A$2:$A$500,0)),""),"")</f>
        <v/>
      </c>
      <c r="H983" s="10" t="n"/>
      <c r="I983" s="18" t="n"/>
      <c r="J983" s="12">
        <f>IF(AND(ISNUMBER(F983),I983&lt;&gt;""),IFERROR(IF(AND(INDEX(Брони!$F$2:$F$500,MATCH(F983,Брони!$A$2:$A$500,0))="Возвращена",I983&gt;INDEX(Брони!$E$2:$E$500,MATCH(F983,Брони!$A$2:$A$500,0))),"Да",""),""),"")</f>
        <v/>
      </c>
      <c r="K983" s="10" t="n"/>
      <c r="L983" s="14" t="n"/>
      <c r="M983" s="15">
        <f>IF(OR(A983="",B983=""),"",IF(AND(ISNUMBER(F983),H983&lt;&gt;"Компания"),D983+L983,0))</f>
        <v/>
      </c>
      <c r="N983" s="21">
        <f>SUMPRODUCT(MAX((Брони!$B$2:$B$500=B983)*((Брони!$F$2:$F$500="Выдана")+(Брони!$F$2:$F$500="Возвращена"))*(Брони!$D$2:$D$500&lt;=A983)*Брони!$D$2:$D$500))</f>
        <v/>
      </c>
      <c r="O983" s="19">
        <f>SUMPRODUCT((Брони!$B$2:$B$500=B983)*(Брони!$D$2:$D$500=N983)*((((Брони!$F$2:$F$500="Выдана")*NOW())+((Брони!$F$2:$F$500="Возвращена")*Брони!$E$2:$E$500))&gt;=A983)*Брони!$A$2:$A$500)</f>
        <v/>
      </c>
      <c r="P983" s="19">
        <f>SUMPRODUCT((Брони!$B$2:$B$500=B983)*(Брони!$D$2:$D$500=N983)*(((Брони!$F$2:$F$500="Выдана")+(Брони!$F$2:$F$500="Возвращена"))))</f>
        <v/>
      </c>
      <c r="Q983" s="10" t="n"/>
    </row>
    <row r="984">
      <c r="A984" s="11" t="n"/>
      <c r="B984" s="10" t="n"/>
      <c r="C984" s="10" t="n"/>
      <c r="D984" s="14" t="n"/>
      <c r="E984" s="10" t="n"/>
      <c r="F984" s="20">
        <f>IF(OR(A984="",B984=""),"",IF(OR(NOT(ISNUMBER(A984)),ISERROR(N984+O984+P984)),"Проверьте даты",IF(AND(N984&gt;0,P984&gt;1),"Дубль",IF(AND(N984&gt;0,O984&gt;0),O984,"Вне аренды"))))</f>
        <v/>
      </c>
      <c r="G984" s="12">
        <f>IF(ISNUMBER(F984),IFERROR(INDEX(Брони!$C$2:$C$500,MATCH(F984,Брони!$A$2:$A$500,0)),""),"")</f>
        <v/>
      </c>
      <c r="H984" s="10" t="n"/>
      <c r="I984" s="18" t="n"/>
      <c r="J984" s="12">
        <f>IF(AND(ISNUMBER(F984),I984&lt;&gt;""),IFERROR(IF(AND(INDEX(Брони!$F$2:$F$500,MATCH(F984,Брони!$A$2:$A$500,0))="Возвращена",I984&gt;INDEX(Брони!$E$2:$E$500,MATCH(F984,Брони!$A$2:$A$500,0))),"Да",""),""),"")</f>
        <v/>
      </c>
      <c r="K984" s="10" t="n"/>
      <c r="L984" s="14" t="n"/>
      <c r="M984" s="15">
        <f>IF(OR(A984="",B984=""),"",IF(AND(ISNUMBER(F984),H984&lt;&gt;"Компания"),D984+L984,0))</f>
        <v/>
      </c>
      <c r="N984" s="21">
        <f>SUMPRODUCT(MAX((Брони!$B$2:$B$500=B984)*((Брони!$F$2:$F$500="Выдана")+(Брони!$F$2:$F$500="Возвращена"))*(Брони!$D$2:$D$500&lt;=A984)*Брони!$D$2:$D$500))</f>
        <v/>
      </c>
      <c r="O984" s="19">
        <f>SUMPRODUCT((Брони!$B$2:$B$500=B984)*(Брони!$D$2:$D$500=N984)*((((Брони!$F$2:$F$500="Выдана")*NOW())+((Брони!$F$2:$F$500="Возвращена")*Брони!$E$2:$E$500))&gt;=A984)*Брони!$A$2:$A$500)</f>
        <v/>
      </c>
      <c r="P984" s="19">
        <f>SUMPRODUCT((Брони!$B$2:$B$500=B984)*(Брони!$D$2:$D$500=N984)*(((Брони!$F$2:$F$500="Выдана")+(Брони!$F$2:$F$500="Возвращена"))))</f>
        <v/>
      </c>
      <c r="Q984" s="10" t="n"/>
    </row>
    <row r="985">
      <c r="A985" s="11" t="n"/>
      <c r="B985" s="10" t="n"/>
      <c r="C985" s="10" t="n"/>
      <c r="D985" s="14" t="n"/>
      <c r="E985" s="10" t="n"/>
      <c r="F985" s="20">
        <f>IF(OR(A985="",B985=""),"",IF(OR(NOT(ISNUMBER(A985)),ISERROR(N985+O985+P985)),"Проверьте даты",IF(AND(N985&gt;0,P985&gt;1),"Дубль",IF(AND(N985&gt;0,O985&gt;0),O985,"Вне аренды"))))</f>
        <v/>
      </c>
      <c r="G985" s="12">
        <f>IF(ISNUMBER(F985),IFERROR(INDEX(Брони!$C$2:$C$500,MATCH(F985,Брони!$A$2:$A$500,0)),""),"")</f>
        <v/>
      </c>
      <c r="H985" s="10" t="n"/>
      <c r="I985" s="18" t="n"/>
      <c r="J985" s="12">
        <f>IF(AND(ISNUMBER(F985),I985&lt;&gt;""),IFERROR(IF(AND(INDEX(Брони!$F$2:$F$500,MATCH(F985,Брони!$A$2:$A$500,0))="Возвращена",I985&gt;INDEX(Брони!$E$2:$E$500,MATCH(F985,Брони!$A$2:$A$500,0))),"Да",""),""),"")</f>
        <v/>
      </c>
      <c r="K985" s="10" t="n"/>
      <c r="L985" s="14" t="n"/>
      <c r="M985" s="15">
        <f>IF(OR(A985="",B985=""),"",IF(AND(ISNUMBER(F985),H985&lt;&gt;"Компания"),D985+L985,0))</f>
        <v/>
      </c>
      <c r="N985" s="21">
        <f>SUMPRODUCT(MAX((Брони!$B$2:$B$500=B985)*((Брони!$F$2:$F$500="Выдана")+(Брони!$F$2:$F$500="Возвращена"))*(Брони!$D$2:$D$500&lt;=A985)*Брони!$D$2:$D$500))</f>
        <v/>
      </c>
      <c r="O985" s="19">
        <f>SUMPRODUCT((Брони!$B$2:$B$500=B985)*(Брони!$D$2:$D$500=N985)*((((Брони!$F$2:$F$500="Выдана")*NOW())+((Брони!$F$2:$F$500="Возвращена")*Брони!$E$2:$E$500))&gt;=A985)*Брони!$A$2:$A$500)</f>
        <v/>
      </c>
      <c r="P985" s="19">
        <f>SUMPRODUCT((Брони!$B$2:$B$500=B985)*(Брони!$D$2:$D$500=N985)*(((Брони!$F$2:$F$500="Выдана")+(Брони!$F$2:$F$500="Возвращена"))))</f>
        <v/>
      </c>
      <c r="Q985" s="10" t="n"/>
    </row>
    <row r="986">
      <c r="A986" s="11" t="n"/>
      <c r="B986" s="10" t="n"/>
      <c r="C986" s="10" t="n"/>
      <c r="D986" s="14" t="n"/>
      <c r="E986" s="10" t="n"/>
      <c r="F986" s="20">
        <f>IF(OR(A986="",B986=""),"",IF(OR(NOT(ISNUMBER(A986)),ISERROR(N986+O986+P986)),"Проверьте даты",IF(AND(N986&gt;0,P986&gt;1),"Дубль",IF(AND(N986&gt;0,O986&gt;0),O986,"Вне аренды"))))</f>
        <v/>
      </c>
      <c r="G986" s="12">
        <f>IF(ISNUMBER(F986),IFERROR(INDEX(Брони!$C$2:$C$500,MATCH(F986,Брони!$A$2:$A$500,0)),""),"")</f>
        <v/>
      </c>
      <c r="H986" s="10" t="n"/>
      <c r="I986" s="18" t="n"/>
      <c r="J986" s="12">
        <f>IF(AND(ISNUMBER(F986),I986&lt;&gt;""),IFERROR(IF(AND(INDEX(Брони!$F$2:$F$500,MATCH(F986,Брони!$A$2:$A$500,0))="Возвращена",I986&gt;INDEX(Брони!$E$2:$E$500,MATCH(F986,Брони!$A$2:$A$500,0))),"Да",""),""),"")</f>
        <v/>
      </c>
      <c r="K986" s="10" t="n"/>
      <c r="L986" s="14" t="n"/>
      <c r="M986" s="15">
        <f>IF(OR(A986="",B986=""),"",IF(AND(ISNUMBER(F986),H986&lt;&gt;"Компания"),D986+L986,0))</f>
        <v/>
      </c>
      <c r="N986" s="21">
        <f>SUMPRODUCT(MAX((Брони!$B$2:$B$500=B986)*((Брони!$F$2:$F$500="Выдана")+(Брони!$F$2:$F$500="Возвращена"))*(Брони!$D$2:$D$500&lt;=A986)*Брони!$D$2:$D$500))</f>
        <v/>
      </c>
      <c r="O986" s="19">
        <f>SUMPRODUCT((Брони!$B$2:$B$500=B986)*(Брони!$D$2:$D$500=N986)*((((Брони!$F$2:$F$500="Выдана")*NOW())+((Брони!$F$2:$F$500="Возвращена")*Брони!$E$2:$E$500))&gt;=A986)*Брони!$A$2:$A$500)</f>
        <v/>
      </c>
      <c r="P986" s="19">
        <f>SUMPRODUCT((Брони!$B$2:$B$500=B986)*(Брони!$D$2:$D$500=N986)*(((Брони!$F$2:$F$500="Выдана")+(Брони!$F$2:$F$500="Возвращена"))))</f>
        <v/>
      </c>
      <c r="Q986" s="10" t="n"/>
    </row>
    <row r="987">
      <c r="A987" s="11" t="n"/>
      <c r="B987" s="10" t="n"/>
      <c r="C987" s="10" t="n"/>
      <c r="D987" s="14" t="n"/>
      <c r="E987" s="10" t="n"/>
      <c r="F987" s="20">
        <f>IF(OR(A987="",B987=""),"",IF(OR(NOT(ISNUMBER(A987)),ISERROR(N987+O987+P987)),"Проверьте даты",IF(AND(N987&gt;0,P987&gt;1),"Дубль",IF(AND(N987&gt;0,O987&gt;0),O987,"Вне аренды"))))</f>
        <v/>
      </c>
      <c r="G987" s="12">
        <f>IF(ISNUMBER(F987),IFERROR(INDEX(Брони!$C$2:$C$500,MATCH(F987,Брони!$A$2:$A$500,0)),""),"")</f>
        <v/>
      </c>
      <c r="H987" s="10" t="n"/>
      <c r="I987" s="18" t="n"/>
      <c r="J987" s="12">
        <f>IF(AND(ISNUMBER(F987),I987&lt;&gt;""),IFERROR(IF(AND(INDEX(Брони!$F$2:$F$500,MATCH(F987,Брони!$A$2:$A$500,0))="Возвращена",I987&gt;INDEX(Брони!$E$2:$E$500,MATCH(F987,Брони!$A$2:$A$500,0))),"Да",""),""),"")</f>
        <v/>
      </c>
      <c r="K987" s="10" t="n"/>
      <c r="L987" s="14" t="n"/>
      <c r="M987" s="15">
        <f>IF(OR(A987="",B987=""),"",IF(AND(ISNUMBER(F987),H987&lt;&gt;"Компания"),D987+L987,0))</f>
        <v/>
      </c>
      <c r="N987" s="21">
        <f>SUMPRODUCT(MAX((Брони!$B$2:$B$500=B987)*((Брони!$F$2:$F$500="Выдана")+(Брони!$F$2:$F$500="Возвращена"))*(Брони!$D$2:$D$500&lt;=A987)*Брони!$D$2:$D$500))</f>
        <v/>
      </c>
      <c r="O987" s="19">
        <f>SUMPRODUCT((Брони!$B$2:$B$500=B987)*(Брони!$D$2:$D$500=N987)*((((Брони!$F$2:$F$500="Выдана")*NOW())+((Брони!$F$2:$F$500="Возвращена")*Брони!$E$2:$E$500))&gt;=A987)*Брони!$A$2:$A$500)</f>
        <v/>
      </c>
      <c r="P987" s="19">
        <f>SUMPRODUCT((Брони!$B$2:$B$500=B987)*(Брони!$D$2:$D$500=N987)*(((Брони!$F$2:$F$500="Выдана")+(Брони!$F$2:$F$500="Возвращена"))))</f>
        <v/>
      </c>
      <c r="Q987" s="10" t="n"/>
    </row>
    <row r="988">
      <c r="A988" s="11" t="n"/>
      <c r="B988" s="10" t="n"/>
      <c r="C988" s="10" t="n"/>
      <c r="D988" s="14" t="n"/>
      <c r="E988" s="10" t="n"/>
      <c r="F988" s="20">
        <f>IF(OR(A988="",B988=""),"",IF(OR(NOT(ISNUMBER(A988)),ISERROR(N988+O988+P988)),"Проверьте даты",IF(AND(N988&gt;0,P988&gt;1),"Дубль",IF(AND(N988&gt;0,O988&gt;0),O988,"Вне аренды"))))</f>
        <v/>
      </c>
      <c r="G988" s="12">
        <f>IF(ISNUMBER(F988),IFERROR(INDEX(Брони!$C$2:$C$500,MATCH(F988,Брони!$A$2:$A$500,0)),""),"")</f>
        <v/>
      </c>
      <c r="H988" s="10" t="n"/>
      <c r="I988" s="18" t="n"/>
      <c r="J988" s="12">
        <f>IF(AND(ISNUMBER(F988),I988&lt;&gt;""),IFERROR(IF(AND(INDEX(Брони!$F$2:$F$500,MATCH(F988,Брони!$A$2:$A$500,0))="Возвращена",I988&gt;INDEX(Брони!$E$2:$E$500,MATCH(F988,Брони!$A$2:$A$500,0))),"Да",""),""),"")</f>
        <v/>
      </c>
      <c r="K988" s="10" t="n"/>
      <c r="L988" s="14" t="n"/>
      <c r="M988" s="15">
        <f>IF(OR(A988="",B988=""),"",IF(AND(ISNUMBER(F988),H988&lt;&gt;"Компания"),D988+L988,0))</f>
        <v/>
      </c>
      <c r="N988" s="21">
        <f>SUMPRODUCT(MAX((Брони!$B$2:$B$500=B988)*((Брони!$F$2:$F$500="Выдана")+(Брони!$F$2:$F$500="Возвращена"))*(Брони!$D$2:$D$500&lt;=A988)*Брони!$D$2:$D$500))</f>
        <v/>
      </c>
      <c r="O988" s="19">
        <f>SUMPRODUCT((Брони!$B$2:$B$500=B988)*(Брони!$D$2:$D$500=N988)*((((Брони!$F$2:$F$500="Выдана")*NOW())+((Брони!$F$2:$F$500="Возвращена")*Брони!$E$2:$E$500))&gt;=A988)*Брони!$A$2:$A$500)</f>
        <v/>
      </c>
      <c r="P988" s="19">
        <f>SUMPRODUCT((Брони!$B$2:$B$500=B988)*(Брони!$D$2:$D$500=N988)*(((Брони!$F$2:$F$500="Выдана")+(Брони!$F$2:$F$500="Возвращена"))))</f>
        <v/>
      </c>
      <c r="Q988" s="10" t="n"/>
    </row>
    <row r="989">
      <c r="A989" s="11" t="n"/>
      <c r="B989" s="10" t="n"/>
      <c r="C989" s="10" t="n"/>
      <c r="D989" s="14" t="n"/>
      <c r="E989" s="10" t="n"/>
      <c r="F989" s="20">
        <f>IF(OR(A989="",B989=""),"",IF(OR(NOT(ISNUMBER(A989)),ISERROR(N989+O989+P989)),"Проверьте даты",IF(AND(N989&gt;0,P989&gt;1),"Дубль",IF(AND(N989&gt;0,O989&gt;0),O989,"Вне аренды"))))</f>
        <v/>
      </c>
      <c r="G989" s="12">
        <f>IF(ISNUMBER(F989),IFERROR(INDEX(Брони!$C$2:$C$500,MATCH(F989,Брони!$A$2:$A$500,0)),""),"")</f>
        <v/>
      </c>
      <c r="H989" s="10" t="n"/>
      <c r="I989" s="18" t="n"/>
      <c r="J989" s="12">
        <f>IF(AND(ISNUMBER(F989),I989&lt;&gt;""),IFERROR(IF(AND(INDEX(Брони!$F$2:$F$500,MATCH(F989,Брони!$A$2:$A$500,0))="Возвращена",I989&gt;INDEX(Брони!$E$2:$E$500,MATCH(F989,Брони!$A$2:$A$500,0))),"Да",""),""),"")</f>
        <v/>
      </c>
      <c r="K989" s="10" t="n"/>
      <c r="L989" s="14" t="n"/>
      <c r="M989" s="15">
        <f>IF(OR(A989="",B989=""),"",IF(AND(ISNUMBER(F989),H989&lt;&gt;"Компания"),D989+L989,0))</f>
        <v/>
      </c>
      <c r="N989" s="21">
        <f>SUMPRODUCT(MAX((Брони!$B$2:$B$500=B989)*((Брони!$F$2:$F$500="Выдана")+(Брони!$F$2:$F$500="Возвращена"))*(Брони!$D$2:$D$500&lt;=A989)*Брони!$D$2:$D$500))</f>
        <v/>
      </c>
      <c r="O989" s="19">
        <f>SUMPRODUCT((Брони!$B$2:$B$500=B989)*(Брони!$D$2:$D$500=N989)*((((Брони!$F$2:$F$500="Выдана")*NOW())+((Брони!$F$2:$F$500="Возвращена")*Брони!$E$2:$E$500))&gt;=A989)*Брони!$A$2:$A$500)</f>
        <v/>
      </c>
      <c r="P989" s="19">
        <f>SUMPRODUCT((Брони!$B$2:$B$500=B989)*(Брони!$D$2:$D$500=N989)*(((Брони!$F$2:$F$500="Выдана")+(Брони!$F$2:$F$500="Возвращена"))))</f>
        <v/>
      </c>
      <c r="Q989" s="10" t="n"/>
    </row>
    <row r="990">
      <c r="A990" s="11" t="n"/>
      <c r="B990" s="10" t="n"/>
      <c r="C990" s="10" t="n"/>
      <c r="D990" s="14" t="n"/>
      <c r="E990" s="10" t="n"/>
      <c r="F990" s="20">
        <f>IF(OR(A990="",B990=""),"",IF(OR(NOT(ISNUMBER(A990)),ISERROR(N990+O990+P990)),"Проверьте даты",IF(AND(N990&gt;0,P990&gt;1),"Дубль",IF(AND(N990&gt;0,O990&gt;0),O990,"Вне аренды"))))</f>
        <v/>
      </c>
      <c r="G990" s="12">
        <f>IF(ISNUMBER(F990),IFERROR(INDEX(Брони!$C$2:$C$500,MATCH(F990,Брони!$A$2:$A$500,0)),""),"")</f>
        <v/>
      </c>
      <c r="H990" s="10" t="n"/>
      <c r="I990" s="18" t="n"/>
      <c r="J990" s="12">
        <f>IF(AND(ISNUMBER(F990),I990&lt;&gt;""),IFERROR(IF(AND(INDEX(Брони!$F$2:$F$500,MATCH(F990,Брони!$A$2:$A$500,0))="Возвращена",I990&gt;INDEX(Брони!$E$2:$E$500,MATCH(F990,Брони!$A$2:$A$500,0))),"Да",""),""),"")</f>
        <v/>
      </c>
      <c r="K990" s="10" t="n"/>
      <c r="L990" s="14" t="n"/>
      <c r="M990" s="15">
        <f>IF(OR(A990="",B990=""),"",IF(AND(ISNUMBER(F990),H990&lt;&gt;"Компания"),D990+L990,0))</f>
        <v/>
      </c>
      <c r="N990" s="21">
        <f>SUMPRODUCT(MAX((Брони!$B$2:$B$500=B990)*((Брони!$F$2:$F$500="Выдана")+(Брони!$F$2:$F$500="Возвращена"))*(Брони!$D$2:$D$500&lt;=A990)*Брони!$D$2:$D$500))</f>
        <v/>
      </c>
      <c r="O990" s="19">
        <f>SUMPRODUCT((Брони!$B$2:$B$500=B990)*(Брони!$D$2:$D$500=N990)*((((Брони!$F$2:$F$500="Выдана")*NOW())+((Брони!$F$2:$F$500="Возвращена")*Брони!$E$2:$E$500))&gt;=A990)*Брони!$A$2:$A$500)</f>
        <v/>
      </c>
      <c r="P990" s="19">
        <f>SUMPRODUCT((Брони!$B$2:$B$500=B990)*(Брони!$D$2:$D$500=N990)*(((Брони!$F$2:$F$500="Выдана")+(Брони!$F$2:$F$500="Возвращена"))))</f>
        <v/>
      </c>
      <c r="Q990" s="10" t="n"/>
    </row>
    <row r="991">
      <c r="A991" s="11" t="n"/>
      <c r="B991" s="10" t="n"/>
      <c r="C991" s="10" t="n"/>
      <c r="D991" s="14" t="n"/>
      <c r="E991" s="10" t="n"/>
      <c r="F991" s="20">
        <f>IF(OR(A991="",B991=""),"",IF(OR(NOT(ISNUMBER(A991)),ISERROR(N991+O991+P991)),"Проверьте даты",IF(AND(N991&gt;0,P991&gt;1),"Дубль",IF(AND(N991&gt;0,O991&gt;0),O991,"Вне аренды"))))</f>
        <v/>
      </c>
      <c r="G991" s="12">
        <f>IF(ISNUMBER(F991),IFERROR(INDEX(Брони!$C$2:$C$500,MATCH(F991,Брони!$A$2:$A$500,0)),""),"")</f>
        <v/>
      </c>
      <c r="H991" s="10" t="n"/>
      <c r="I991" s="18" t="n"/>
      <c r="J991" s="12">
        <f>IF(AND(ISNUMBER(F991),I991&lt;&gt;""),IFERROR(IF(AND(INDEX(Брони!$F$2:$F$500,MATCH(F991,Брони!$A$2:$A$500,0))="Возвращена",I991&gt;INDEX(Брони!$E$2:$E$500,MATCH(F991,Брони!$A$2:$A$500,0))),"Да",""),""),"")</f>
        <v/>
      </c>
      <c r="K991" s="10" t="n"/>
      <c r="L991" s="14" t="n"/>
      <c r="M991" s="15">
        <f>IF(OR(A991="",B991=""),"",IF(AND(ISNUMBER(F991),H991&lt;&gt;"Компания"),D991+L991,0))</f>
        <v/>
      </c>
      <c r="N991" s="21">
        <f>SUMPRODUCT(MAX((Брони!$B$2:$B$500=B991)*((Брони!$F$2:$F$500="Выдана")+(Брони!$F$2:$F$500="Возвращена"))*(Брони!$D$2:$D$500&lt;=A991)*Брони!$D$2:$D$500))</f>
        <v/>
      </c>
      <c r="O991" s="19">
        <f>SUMPRODUCT((Брони!$B$2:$B$500=B991)*(Брони!$D$2:$D$500=N991)*((((Брони!$F$2:$F$500="Выдана")*NOW())+((Брони!$F$2:$F$500="Возвращена")*Брони!$E$2:$E$500))&gt;=A991)*Брони!$A$2:$A$500)</f>
        <v/>
      </c>
      <c r="P991" s="19">
        <f>SUMPRODUCT((Брони!$B$2:$B$500=B991)*(Брони!$D$2:$D$500=N991)*(((Брони!$F$2:$F$500="Выдана")+(Брони!$F$2:$F$500="Возвращена"))))</f>
        <v/>
      </c>
      <c r="Q991" s="10" t="n"/>
    </row>
    <row r="992">
      <c r="A992" s="11" t="n"/>
      <c r="B992" s="10" t="n"/>
      <c r="C992" s="10" t="n"/>
      <c r="D992" s="14" t="n"/>
      <c r="E992" s="10" t="n"/>
      <c r="F992" s="20">
        <f>IF(OR(A992="",B992=""),"",IF(OR(NOT(ISNUMBER(A992)),ISERROR(N992+O992+P992)),"Проверьте даты",IF(AND(N992&gt;0,P992&gt;1),"Дубль",IF(AND(N992&gt;0,O992&gt;0),O992,"Вне аренды"))))</f>
        <v/>
      </c>
      <c r="G992" s="12">
        <f>IF(ISNUMBER(F992),IFERROR(INDEX(Брони!$C$2:$C$500,MATCH(F992,Брони!$A$2:$A$500,0)),""),"")</f>
        <v/>
      </c>
      <c r="H992" s="10" t="n"/>
      <c r="I992" s="18" t="n"/>
      <c r="J992" s="12">
        <f>IF(AND(ISNUMBER(F992),I992&lt;&gt;""),IFERROR(IF(AND(INDEX(Брони!$F$2:$F$500,MATCH(F992,Брони!$A$2:$A$500,0))="Возвращена",I992&gt;INDEX(Брони!$E$2:$E$500,MATCH(F992,Брони!$A$2:$A$500,0))),"Да",""),""),"")</f>
        <v/>
      </c>
      <c r="K992" s="10" t="n"/>
      <c r="L992" s="14" t="n"/>
      <c r="M992" s="15">
        <f>IF(OR(A992="",B992=""),"",IF(AND(ISNUMBER(F992),H992&lt;&gt;"Компания"),D992+L992,0))</f>
        <v/>
      </c>
      <c r="N992" s="21">
        <f>SUMPRODUCT(MAX((Брони!$B$2:$B$500=B992)*((Брони!$F$2:$F$500="Выдана")+(Брони!$F$2:$F$500="Возвращена"))*(Брони!$D$2:$D$500&lt;=A992)*Брони!$D$2:$D$500))</f>
        <v/>
      </c>
      <c r="O992" s="19">
        <f>SUMPRODUCT((Брони!$B$2:$B$500=B992)*(Брони!$D$2:$D$500=N992)*((((Брони!$F$2:$F$500="Выдана")*NOW())+((Брони!$F$2:$F$500="Возвращена")*Брони!$E$2:$E$500))&gt;=A992)*Брони!$A$2:$A$500)</f>
        <v/>
      </c>
      <c r="P992" s="19">
        <f>SUMPRODUCT((Брони!$B$2:$B$500=B992)*(Брони!$D$2:$D$500=N992)*(((Брони!$F$2:$F$500="Выдана")+(Брони!$F$2:$F$500="Возвращена"))))</f>
        <v/>
      </c>
      <c r="Q992" s="10" t="n"/>
    </row>
    <row r="993">
      <c r="A993" s="11" t="n"/>
      <c r="B993" s="10" t="n"/>
      <c r="C993" s="10" t="n"/>
      <c r="D993" s="14" t="n"/>
      <c r="E993" s="10" t="n"/>
      <c r="F993" s="20">
        <f>IF(OR(A993="",B993=""),"",IF(OR(NOT(ISNUMBER(A993)),ISERROR(N993+O993+P993)),"Проверьте даты",IF(AND(N993&gt;0,P993&gt;1),"Дубль",IF(AND(N993&gt;0,O993&gt;0),O993,"Вне аренды"))))</f>
        <v/>
      </c>
      <c r="G993" s="12">
        <f>IF(ISNUMBER(F993),IFERROR(INDEX(Брони!$C$2:$C$500,MATCH(F993,Брони!$A$2:$A$500,0)),""),"")</f>
        <v/>
      </c>
      <c r="H993" s="10" t="n"/>
      <c r="I993" s="18" t="n"/>
      <c r="J993" s="12">
        <f>IF(AND(ISNUMBER(F993),I993&lt;&gt;""),IFERROR(IF(AND(INDEX(Брони!$F$2:$F$500,MATCH(F993,Брони!$A$2:$A$500,0))="Возвращена",I993&gt;INDEX(Брони!$E$2:$E$500,MATCH(F993,Брони!$A$2:$A$500,0))),"Да",""),""),"")</f>
        <v/>
      </c>
      <c r="K993" s="10" t="n"/>
      <c r="L993" s="14" t="n"/>
      <c r="M993" s="15">
        <f>IF(OR(A993="",B993=""),"",IF(AND(ISNUMBER(F993),H993&lt;&gt;"Компания"),D993+L993,0))</f>
        <v/>
      </c>
      <c r="N993" s="21">
        <f>SUMPRODUCT(MAX((Брони!$B$2:$B$500=B993)*((Брони!$F$2:$F$500="Выдана")+(Брони!$F$2:$F$500="Возвращена"))*(Брони!$D$2:$D$500&lt;=A993)*Брони!$D$2:$D$500))</f>
        <v/>
      </c>
      <c r="O993" s="19">
        <f>SUMPRODUCT((Брони!$B$2:$B$500=B993)*(Брони!$D$2:$D$500=N993)*((((Брони!$F$2:$F$500="Выдана")*NOW())+((Брони!$F$2:$F$500="Возвращена")*Брони!$E$2:$E$500))&gt;=A993)*Брони!$A$2:$A$500)</f>
        <v/>
      </c>
      <c r="P993" s="19">
        <f>SUMPRODUCT((Брони!$B$2:$B$500=B993)*(Брони!$D$2:$D$500=N993)*(((Брони!$F$2:$F$500="Выдана")+(Брони!$F$2:$F$500="Возвращена"))))</f>
        <v/>
      </c>
      <c r="Q993" s="10" t="n"/>
    </row>
    <row r="994">
      <c r="A994" s="11" t="n"/>
      <c r="B994" s="10" t="n"/>
      <c r="C994" s="10" t="n"/>
      <c r="D994" s="14" t="n"/>
      <c r="E994" s="10" t="n"/>
      <c r="F994" s="20">
        <f>IF(OR(A994="",B994=""),"",IF(OR(NOT(ISNUMBER(A994)),ISERROR(N994+O994+P994)),"Проверьте даты",IF(AND(N994&gt;0,P994&gt;1),"Дубль",IF(AND(N994&gt;0,O994&gt;0),O994,"Вне аренды"))))</f>
        <v/>
      </c>
      <c r="G994" s="12">
        <f>IF(ISNUMBER(F994),IFERROR(INDEX(Брони!$C$2:$C$500,MATCH(F994,Брони!$A$2:$A$500,0)),""),"")</f>
        <v/>
      </c>
      <c r="H994" s="10" t="n"/>
      <c r="I994" s="18" t="n"/>
      <c r="J994" s="12">
        <f>IF(AND(ISNUMBER(F994),I994&lt;&gt;""),IFERROR(IF(AND(INDEX(Брони!$F$2:$F$500,MATCH(F994,Брони!$A$2:$A$500,0))="Возвращена",I994&gt;INDEX(Брони!$E$2:$E$500,MATCH(F994,Брони!$A$2:$A$500,0))),"Да",""),""),"")</f>
        <v/>
      </c>
      <c r="K994" s="10" t="n"/>
      <c r="L994" s="14" t="n"/>
      <c r="M994" s="15">
        <f>IF(OR(A994="",B994=""),"",IF(AND(ISNUMBER(F994),H994&lt;&gt;"Компания"),D994+L994,0))</f>
        <v/>
      </c>
      <c r="N994" s="21">
        <f>SUMPRODUCT(MAX((Брони!$B$2:$B$500=B994)*((Брони!$F$2:$F$500="Выдана")+(Брони!$F$2:$F$500="Возвращена"))*(Брони!$D$2:$D$500&lt;=A994)*Брони!$D$2:$D$500))</f>
        <v/>
      </c>
      <c r="O994" s="19">
        <f>SUMPRODUCT((Брони!$B$2:$B$500=B994)*(Брони!$D$2:$D$500=N994)*((((Брони!$F$2:$F$500="Выдана")*NOW())+((Брони!$F$2:$F$500="Возвращена")*Брони!$E$2:$E$500))&gt;=A994)*Брони!$A$2:$A$500)</f>
        <v/>
      </c>
      <c r="P994" s="19">
        <f>SUMPRODUCT((Брони!$B$2:$B$500=B994)*(Брони!$D$2:$D$500=N994)*(((Брони!$F$2:$F$500="Выдана")+(Брони!$F$2:$F$500="Возвращена"))))</f>
        <v/>
      </c>
      <c r="Q994" s="10" t="n"/>
    </row>
    <row r="995">
      <c r="A995" s="11" t="n"/>
      <c r="B995" s="10" t="n"/>
      <c r="C995" s="10" t="n"/>
      <c r="D995" s="14" t="n"/>
      <c r="E995" s="10" t="n"/>
      <c r="F995" s="20">
        <f>IF(OR(A995="",B995=""),"",IF(OR(NOT(ISNUMBER(A995)),ISERROR(N995+O995+P995)),"Проверьте даты",IF(AND(N995&gt;0,P995&gt;1),"Дубль",IF(AND(N995&gt;0,O995&gt;0),O995,"Вне аренды"))))</f>
        <v/>
      </c>
      <c r="G995" s="12">
        <f>IF(ISNUMBER(F995),IFERROR(INDEX(Брони!$C$2:$C$500,MATCH(F995,Брони!$A$2:$A$500,0)),""),"")</f>
        <v/>
      </c>
      <c r="H995" s="10" t="n"/>
      <c r="I995" s="18" t="n"/>
      <c r="J995" s="12">
        <f>IF(AND(ISNUMBER(F995),I995&lt;&gt;""),IFERROR(IF(AND(INDEX(Брони!$F$2:$F$500,MATCH(F995,Брони!$A$2:$A$500,0))="Возвращена",I995&gt;INDEX(Брони!$E$2:$E$500,MATCH(F995,Брони!$A$2:$A$500,0))),"Да",""),""),"")</f>
        <v/>
      </c>
      <c r="K995" s="10" t="n"/>
      <c r="L995" s="14" t="n"/>
      <c r="M995" s="15">
        <f>IF(OR(A995="",B995=""),"",IF(AND(ISNUMBER(F995),H995&lt;&gt;"Компания"),D995+L995,0))</f>
        <v/>
      </c>
      <c r="N995" s="21">
        <f>SUMPRODUCT(MAX((Брони!$B$2:$B$500=B995)*((Брони!$F$2:$F$500="Выдана")+(Брони!$F$2:$F$500="Возвращена"))*(Брони!$D$2:$D$500&lt;=A995)*Брони!$D$2:$D$500))</f>
        <v/>
      </c>
      <c r="O995" s="19">
        <f>SUMPRODUCT((Брони!$B$2:$B$500=B995)*(Брони!$D$2:$D$500=N995)*((((Брони!$F$2:$F$500="Выдана")*NOW())+((Брони!$F$2:$F$500="Возвращена")*Брони!$E$2:$E$500))&gt;=A995)*Брони!$A$2:$A$500)</f>
        <v/>
      </c>
      <c r="P995" s="19">
        <f>SUMPRODUCT((Брони!$B$2:$B$500=B995)*(Брони!$D$2:$D$500=N995)*(((Брони!$F$2:$F$500="Выдана")+(Брони!$F$2:$F$500="Возвращена"))))</f>
        <v/>
      </c>
      <c r="Q995" s="10" t="n"/>
    </row>
    <row r="996">
      <c r="A996" s="11" t="n"/>
      <c r="B996" s="10" t="n"/>
      <c r="C996" s="10" t="n"/>
      <c r="D996" s="14" t="n"/>
      <c r="E996" s="10" t="n"/>
      <c r="F996" s="20">
        <f>IF(OR(A996="",B996=""),"",IF(OR(NOT(ISNUMBER(A996)),ISERROR(N996+O996+P996)),"Проверьте даты",IF(AND(N996&gt;0,P996&gt;1),"Дубль",IF(AND(N996&gt;0,O996&gt;0),O996,"Вне аренды"))))</f>
        <v/>
      </c>
      <c r="G996" s="12">
        <f>IF(ISNUMBER(F996),IFERROR(INDEX(Брони!$C$2:$C$500,MATCH(F996,Брони!$A$2:$A$500,0)),""),"")</f>
        <v/>
      </c>
      <c r="H996" s="10" t="n"/>
      <c r="I996" s="18" t="n"/>
      <c r="J996" s="12">
        <f>IF(AND(ISNUMBER(F996),I996&lt;&gt;""),IFERROR(IF(AND(INDEX(Брони!$F$2:$F$500,MATCH(F996,Брони!$A$2:$A$500,0))="Возвращена",I996&gt;INDEX(Брони!$E$2:$E$500,MATCH(F996,Брони!$A$2:$A$500,0))),"Да",""),""),"")</f>
        <v/>
      </c>
      <c r="K996" s="10" t="n"/>
      <c r="L996" s="14" t="n"/>
      <c r="M996" s="15">
        <f>IF(OR(A996="",B996=""),"",IF(AND(ISNUMBER(F996),H996&lt;&gt;"Компания"),D996+L996,0))</f>
        <v/>
      </c>
      <c r="N996" s="21">
        <f>SUMPRODUCT(MAX((Брони!$B$2:$B$500=B996)*((Брони!$F$2:$F$500="Выдана")+(Брони!$F$2:$F$500="Возвращена"))*(Брони!$D$2:$D$500&lt;=A996)*Брони!$D$2:$D$500))</f>
        <v/>
      </c>
      <c r="O996" s="19">
        <f>SUMPRODUCT((Брони!$B$2:$B$500=B996)*(Брони!$D$2:$D$500=N996)*((((Брони!$F$2:$F$500="Выдана")*NOW())+((Брони!$F$2:$F$500="Возвращена")*Брони!$E$2:$E$500))&gt;=A996)*Брони!$A$2:$A$500)</f>
        <v/>
      </c>
      <c r="P996" s="19">
        <f>SUMPRODUCT((Брони!$B$2:$B$500=B996)*(Брони!$D$2:$D$500=N996)*(((Брони!$F$2:$F$500="Выдана")+(Брони!$F$2:$F$500="Возвращена"))))</f>
        <v/>
      </c>
      <c r="Q996" s="10" t="n"/>
    </row>
    <row r="997">
      <c r="A997" s="11" t="n"/>
      <c r="B997" s="10" t="n"/>
      <c r="C997" s="10" t="n"/>
      <c r="D997" s="14" t="n"/>
      <c r="E997" s="10" t="n"/>
      <c r="F997" s="20">
        <f>IF(OR(A997="",B997=""),"",IF(OR(NOT(ISNUMBER(A997)),ISERROR(N997+O997+P997)),"Проверьте даты",IF(AND(N997&gt;0,P997&gt;1),"Дубль",IF(AND(N997&gt;0,O997&gt;0),O997,"Вне аренды"))))</f>
        <v/>
      </c>
      <c r="G997" s="12">
        <f>IF(ISNUMBER(F997),IFERROR(INDEX(Брони!$C$2:$C$500,MATCH(F997,Брони!$A$2:$A$500,0)),""),"")</f>
        <v/>
      </c>
      <c r="H997" s="10" t="n"/>
      <c r="I997" s="18" t="n"/>
      <c r="J997" s="12">
        <f>IF(AND(ISNUMBER(F997),I997&lt;&gt;""),IFERROR(IF(AND(INDEX(Брони!$F$2:$F$500,MATCH(F997,Брони!$A$2:$A$500,0))="Возвращена",I997&gt;INDEX(Брони!$E$2:$E$500,MATCH(F997,Брони!$A$2:$A$500,0))),"Да",""),""),"")</f>
        <v/>
      </c>
      <c r="K997" s="10" t="n"/>
      <c r="L997" s="14" t="n"/>
      <c r="M997" s="15">
        <f>IF(OR(A997="",B997=""),"",IF(AND(ISNUMBER(F997),H997&lt;&gt;"Компания"),D997+L997,0))</f>
        <v/>
      </c>
      <c r="N997" s="21">
        <f>SUMPRODUCT(MAX((Брони!$B$2:$B$500=B997)*((Брони!$F$2:$F$500="Выдана")+(Брони!$F$2:$F$500="Возвращена"))*(Брони!$D$2:$D$500&lt;=A997)*Брони!$D$2:$D$500))</f>
        <v/>
      </c>
      <c r="O997" s="19">
        <f>SUMPRODUCT((Брони!$B$2:$B$500=B997)*(Брони!$D$2:$D$500=N997)*((((Брони!$F$2:$F$500="Выдана")*NOW())+((Брони!$F$2:$F$500="Возвращена")*Брони!$E$2:$E$500))&gt;=A997)*Брони!$A$2:$A$500)</f>
        <v/>
      </c>
      <c r="P997" s="19">
        <f>SUMPRODUCT((Брони!$B$2:$B$500=B997)*(Брони!$D$2:$D$500=N997)*(((Брони!$F$2:$F$500="Выдана")+(Брони!$F$2:$F$500="Возвращена"))))</f>
        <v/>
      </c>
      <c r="Q997" s="10" t="n"/>
    </row>
    <row r="998">
      <c r="A998" s="11" t="n"/>
      <c r="B998" s="10" t="n"/>
      <c r="C998" s="10" t="n"/>
      <c r="D998" s="14" t="n"/>
      <c r="E998" s="10" t="n"/>
      <c r="F998" s="20">
        <f>IF(OR(A998="",B998=""),"",IF(OR(NOT(ISNUMBER(A998)),ISERROR(N998+O998+P998)),"Проверьте даты",IF(AND(N998&gt;0,P998&gt;1),"Дубль",IF(AND(N998&gt;0,O998&gt;0),O998,"Вне аренды"))))</f>
        <v/>
      </c>
      <c r="G998" s="12">
        <f>IF(ISNUMBER(F998),IFERROR(INDEX(Брони!$C$2:$C$500,MATCH(F998,Брони!$A$2:$A$500,0)),""),"")</f>
        <v/>
      </c>
      <c r="H998" s="10" t="n"/>
      <c r="I998" s="18" t="n"/>
      <c r="J998" s="12">
        <f>IF(AND(ISNUMBER(F998),I998&lt;&gt;""),IFERROR(IF(AND(INDEX(Брони!$F$2:$F$500,MATCH(F998,Брони!$A$2:$A$500,0))="Возвращена",I998&gt;INDEX(Брони!$E$2:$E$500,MATCH(F998,Брони!$A$2:$A$500,0))),"Да",""),""),"")</f>
        <v/>
      </c>
      <c r="K998" s="10" t="n"/>
      <c r="L998" s="14" t="n"/>
      <c r="M998" s="15">
        <f>IF(OR(A998="",B998=""),"",IF(AND(ISNUMBER(F998),H998&lt;&gt;"Компания"),D998+L998,0))</f>
        <v/>
      </c>
      <c r="N998" s="21">
        <f>SUMPRODUCT(MAX((Брони!$B$2:$B$500=B998)*((Брони!$F$2:$F$500="Выдана")+(Брони!$F$2:$F$500="Возвращена"))*(Брони!$D$2:$D$500&lt;=A998)*Брони!$D$2:$D$500))</f>
        <v/>
      </c>
      <c r="O998" s="19">
        <f>SUMPRODUCT((Брони!$B$2:$B$500=B998)*(Брони!$D$2:$D$500=N998)*((((Брони!$F$2:$F$500="Выдана")*NOW())+((Брони!$F$2:$F$500="Возвращена")*Брони!$E$2:$E$500))&gt;=A998)*Брони!$A$2:$A$500)</f>
        <v/>
      </c>
      <c r="P998" s="19">
        <f>SUMPRODUCT((Брони!$B$2:$B$500=B998)*(Брони!$D$2:$D$500=N998)*(((Брони!$F$2:$F$500="Выдана")+(Брони!$F$2:$F$500="Возвращена"))))</f>
        <v/>
      </c>
      <c r="Q998" s="10" t="n"/>
    </row>
    <row r="999">
      <c r="A999" s="11" t="n"/>
      <c r="B999" s="10" t="n"/>
      <c r="C999" s="10" t="n"/>
      <c r="D999" s="14" t="n"/>
      <c r="E999" s="10" t="n"/>
      <c r="F999" s="20">
        <f>IF(OR(A999="",B999=""),"",IF(OR(NOT(ISNUMBER(A999)),ISERROR(N999+O999+P999)),"Проверьте даты",IF(AND(N999&gt;0,P999&gt;1),"Дубль",IF(AND(N999&gt;0,O999&gt;0),O999,"Вне аренды"))))</f>
        <v/>
      </c>
      <c r="G999" s="12">
        <f>IF(ISNUMBER(F999),IFERROR(INDEX(Брони!$C$2:$C$500,MATCH(F999,Брони!$A$2:$A$500,0)),""),"")</f>
        <v/>
      </c>
      <c r="H999" s="10" t="n"/>
      <c r="I999" s="18" t="n"/>
      <c r="J999" s="12">
        <f>IF(AND(ISNUMBER(F999),I999&lt;&gt;""),IFERROR(IF(AND(INDEX(Брони!$F$2:$F$500,MATCH(F999,Брони!$A$2:$A$500,0))="Возвращена",I999&gt;INDEX(Брони!$E$2:$E$500,MATCH(F999,Брони!$A$2:$A$500,0))),"Да",""),""),"")</f>
        <v/>
      </c>
      <c r="K999" s="10" t="n"/>
      <c r="L999" s="14" t="n"/>
      <c r="M999" s="15">
        <f>IF(OR(A999="",B999=""),"",IF(AND(ISNUMBER(F999),H999&lt;&gt;"Компания"),D999+L999,0))</f>
        <v/>
      </c>
      <c r="N999" s="21">
        <f>SUMPRODUCT(MAX((Брони!$B$2:$B$500=B999)*((Брони!$F$2:$F$500="Выдана")+(Брони!$F$2:$F$500="Возвращена"))*(Брони!$D$2:$D$500&lt;=A999)*Брони!$D$2:$D$500))</f>
        <v/>
      </c>
      <c r="O999" s="19">
        <f>SUMPRODUCT((Брони!$B$2:$B$500=B999)*(Брони!$D$2:$D$500=N999)*((((Брони!$F$2:$F$500="Выдана")*NOW())+((Брони!$F$2:$F$500="Возвращена")*Брони!$E$2:$E$500))&gt;=A999)*Брони!$A$2:$A$500)</f>
        <v/>
      </c>
      <c r="P999" s="19">
        <f>SUMPRODUCT((Брони!$B$2:$B$500=B999)*(Брони!$D$2:$D$500=N999)*(((Брони!$F$2:$F$500="Выдана")+(Брони!$F$2:$F$500="Возвращена"))))</f>
        <v/>
      </c>
      <c r="Q999" s="10" t="n"/>
    </row>
    <row r="1000">
      <c r="A1000" s="11" t="n"/>
      <c r="B1000" s="10" t="n"/>
      <c r="C1000" s="10" t="n"/>
      <c r="D1000" s="14" t="n"/>
      <c r="E1000" s="10" t="n"/>
      <c r="F1000" s="20">
        <f>IF(OR(A1000="",B1000=""),"",IF(OR(NOT(ISNUMBER(A1000)),ISERROR(N1000+O1000+P1000)),"Проверьте даты",IF(AND(N1000&gt;0,P1000&gt;1),"Дубль",IF(AND(N1000&gt;0,O1000&gt;0),O1000,"Вне аренды"))))</f>
        <v/>
      </c>
      <c r="G1000" s="12">
        <f>IF(ISNUMBER(F1000),IFERROR(INDEX(Брони!$C$2:$C$500,MATCH(F1000,Брони!$A$2:$A$500,0)),""),"")</f>
        <v/>
      </c>
      <c r="H1000" s="10" t="n"/>
      <c r="I1000" s="18" t="n"/>
      <c r="J1000" s="12">
        <f>IF(AND(ISNUMBER(F1000),I1000&lt;&gt;""),IFERROR(IF(AND(INDEX(Брони!$F$2:$F$500,MATCH(F1000,Брони!$A$2:$A$500,0))="Возвращена",I1000&gt;INDEX(Брони!$E$2:$E$500,MATCH(F1000,Брони!$A$2:$A$500,0))),"Да",""),""),"")</f>
        <v/>
      </c>
      <c r="K1000" s="10" t="n"/>
      <c r="L1000" s="14" t="n"/>
      <c r="M1000" s="15">
        <f>IF(OR(A1000="",B1000=""),"",IF(AND(ISNUMBER(F1000),H1000&lt;&gt;"Компания"),D1000+L1000,0))</f>
        <v/>
      </c>
      <c r="N1000" s="21">
        <f>SUMPRODUCT(MAX((Брони!$B$2:$B$500=B1000)*((Брони!$F$2:$F$500="Выдана")+(Брони!$F$2:$F$500="Возвращена"))*(Брони!$D$2:$D$500&lt;=A1000)*Брони!$D$2:$D$500))</f>
        <v/>
      </c>
      <c r="O1000" s="19">
        <f>SUMPRODUCT((Брони!$B$2:$B$500=B1000)*(Брони!$D$2:$D$500=N1000)*((((Брони!$F$2:$F$500="Выдана")*NOW())+((Брони!$F$2:$F$500="Возвращена")*Брони!$E$2:$E$500))&gt;=A1000)*Брони!$A$2:$A$500)</f>
        <v/>
      </c>
      <c r="P1000" s="19">
        <f>SUMPRODUCT((Брони!$B$2:$B$500=B1000)*(Брони!$D$2:$D$500=N1000)*(((Брони!$F$2:$F$500="Выдана")+(Брони!$F$2:$F$500="Возвращена"))))</f>
        <v/>
      </c>
      <c r="Q1000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Q1000"/>
  <conditionalFormatting sqref="F2:F1000">
    <cfRule type="expression" priority="1" dxfId="0">
      <formula>$F2="Дубль"</formula>
    </cfRule>
    <cfRule type="expression" priority="2" dxfId="0">
      <formula>$F2="Проверьте даты"</formula>
    </cfRule>
    <cfRule type="expression" priority="3" dxfId="3">
      <formula>$F2="Вне аренды"</formula>
    </cfRule>
  </conditionalFormatting>
  <conditionalFormatting sqref="J2:J1000">
    <cfRule type="expression" priority="4" dxfId="3">
      <formula>$J2="Да"</formula>
    </cfRule>
  </conditionalFormatting>
  <conditionalFormatting sqref="A2:M1000 Q2:Q1000">
    <cfRule type="expression" priority="5" dxfId="2">
      <formula>$Q2="пример"</formula>
    </cfRule>
  </conditionalFormatting>
  <dataValidations count="7">
    <dataValidation sqref="B2:B1000" showDropDown="0" showInputMessage="0" showErrorMessage="1" allowBlank="1" errorTitle="Проверьте значение" error="Выберите машину из списка. Машины берутся с листа «Парк»" type="list">
      <formula1>Парк!$A$2:$A$51</formula1>
    </dataValidation>
    <dataValidation sqref="C2:C1000" showDropDown="0" showInputMessage="0" showErrorMessage="1" allowBlank="1" errorTitle="Проверьте значение" error="Выберите значение из списка" type="list">
      <formula1>Настройки!$E$2:$E$6</formula1>
    </dataValidation>
    <dataValidation sqref="D2:D1000 L2:L1000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  <dataValidation sqref="H2:H1000" showDropDown="0" showInputMessage="0" showErrorMessage="1" allowBlank="1" errorTitle="Проверьте значение" error="Выберите значение из списка" type="list">
      <formula1>Настройки!$I$2:$I$3</formula1>
    </dataValidation>
    <dataValidation sqref="K2:K1000" showDropDown="0" showInputMessage="0" showErrorMessage="1" allowBlank="1" errorTitle="Проверьте значение" error="Выберите значение из списка" type="list">
      <formula1>Настройки!$J$2:$J$3</formula1>
    </dataValidation>
    <dataValidation sqref="A2:A1000" showDropDown="0" showInputMessage="0" showErrorMessage="1" allowBlank="1" errorTitle="Проверьте значение" error="Введите дату и время, например 2026-10-12 14:30" type="custom">
      <formula1>ISNUMBER(A2)</formula1>
    </dataValidation>
    <dataValidation sqref="I2:I1000" showDropDown="0" showInputMessage="0" showErrorMessage="1" allowBlank="1" errorTitle="Проверьте значение" error="Введите дату, например 2026-10-12" type="custom">
      <formula1>ISNUMBER(I2)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2" customWidth="1" min="4" max="4"/>
    <col width="20" customWidth="1" min="5" max="5"/>
    <col width="13" customWidth="1" min="6" max="6"/>
    <col width="13" customWidth="1" min="7" max="7"/>
    <col width="12" customWidth="1" min="8" max="8"/>
    <col width="12" customWidth="1" min="9" max="9"/>
    <col width="20" customWidth="1" min="10" max="10"/>
    <col width="13" customWidth="1" min="11" max="11"/>
    <col width="17" customWidth="1" min="12" max="12"/>
    <col width="18" customWidth="1" min="13" max="13"/>
    <col width="16" customWidth="1" min="14" max="14"/>
    <col width="14" customWidth="1" min="15" max="15"/>
  </cols>
  <sheetData>
    <row r="1" ht="48" customHeight="1">
      <c r="A1" s="7" t="inlineStr">
        <is>
          <t>№ брони</t>
        </is>
      </c>
      <c r="B1" s="7" t="inlineStr">
        <is>
          <t>Клиент</t>
        </is>
      </c>
      <c r="C1" s="7" t="inlineStr">
        <is>
          <t>Машина</t>
        </is>
      </c>
      <c r="D1" s="7" t="inlineStr">
        <is>
          <t>Залог</t>
        </is>
      </c>
      <c r="E1" s="7" t="inlineStr">
        <is>
          <t>Способ</t>
        </is>
      </c>
      <c r="F1" s="7" t="inlineStr">
        <is>
          <t>Дата получения</t>
        </is>
      </c>
      <c r="G1" s="7" t="inlineStr">
        <is>
          <t>Дата возврата</t>
        </is>
      </c>
      <c r="H1" s="7" t="inlineStr">
        <is>
          <t>Возвращено</t>
        </is>
      </c>
      <c r="I1" s="7" t="inlineStr">
        <is>
          <t>Удержано</t>
        </is>
      </c>
      <c r="J1" s="7" t="inlineStr">
        <is>
          <t>За что</t>
        </is>
      </c>
      <c r="K1" s="7" t="inlineStr">
        <is>
          <t>Ещё на руках</t>
        </is>
      </c>
      <c r="L1" s="7" t="inlineStr">
        <is>
          <t>Состояние</t>
        </is>
      </c>
      <c r="M1" s="7" t="inlineStr">
        <is>
          <t>Заметки</t>
        </is>
      </c>
      <c r="N1" s="8" t="inlineStr">
        <is>
          <t>Дней после возврата (не править)</t>
        </is>
      </c>
      <c r="O1" s="8" t="inlineStr">
        <is>
          <t>Срок вышел (не править)</t>
        </is>
      </c>
    </row>
    <row r="2">
      <c r="A2" s="9" t="n">
        <v>1001</v>
      </c>
      <c r="B2" s="12">
        <f>IF(A2="","",IFERROR(INDEX(Брони!$C$2:$C$500,MATCH(A2,Брони!$A$2:$A$500,0)),""))</f>
        <v/>
      </c>
      <c r="C2" s="12">
        <f>IF(A2="","",IFERROR(INDEX(Брони!$B$2:$B$500,MATCH(A2,Брони!$A$2:$A$500,0)),""))</f>
        <v/>
      </c>
      <c r="D2" s="14" t="n">
        <v>500</v>
      </c>
      <c r="E2" s="10" t="inlineStr">
        <is>
          <t>Наличные</t>
        </is>
      </c>
      <c r="F2" s="18">
        <f>TODAY()-8</f>
        <v/>
      </c>
      <c r="G2" s="18">
        <f>TODAY()-4</f>
        <v/>
      </c>
      <c r="H2" s="14" t="n">
        <v>400</v>
      </c>
      <c r="I2" s="14" t="n">
        <v>100</v>
      </c>
      <c r="J2" s="10" t="inlineStr">
        <is>
          <t>Штраф</t>
        </is>
      </c>
      <c r="K2" s="15">
        <f>IF(OR(A2="",D2=""),"",D2-H2-I2)</f>
        <v/>
      </c>
      <c r="L2" s="12">
        <f>IF(K2="","",IF(K2&gt;0,"На руках",IF(I2&gt;0,IF(H2&gt;0,"Удержан частично","Удержан"),"Возвращён")))</f>
        <v/>
      </c>
      <c r="M2" s="10" t="inlineStr">
        <is>
          <t>пример</t>
        </is>
      </c>
      <c r="N2" s="19">
        <f>IF(K2="","",IF(K2&gt;0,IFERROR(IF(INDEX(Брони!$F$2:$F$500,MATCH(A2,Брони!$A$2:$A$500,0))="Возвращена",TODAY()-INT(INDEX(Брони!$E$2:$E$500,MATCH(A2,Брони!$A$2:$A$500,0))),""),""),""))</f>
        <v/>
      </c>
      <c r="O2" s="19">
        <f>IF(OR(N2="",Настройки!$B$8=""),"",IF(N2&gt;Настройки!$B$8,1,""))</f>
        <v/>
      </c>
    </row>
    <row r="3">
      <c r="A3" s="9" t="n">
        <v>1002</v>
      </c>
      <c r="B3" s="12">
        <f>IF(A3="","",IFERROR(INDEX(Брони!$C$2:$C$500,MATCH(A3,Брони!$A$2:$A$500,0)),""))</f>
        <v/>
      </c>
      <c r="C3" s="12">
        <f>IF(A3="","",IFERROR(INDEX(Брони!$B$2:$B$500,MATCH(A3,Брони!$A$2:$A$500,0)),""))</f>
        <v/>
      </c>
      <c r="D3" s="14" t="n">
        <v>500</v>
      </c>
      <c r="E3" s="10" t="inlineStr">
        <is>
          <t>Блокировка на карте</t>
        </is>
      </c>
      <c r="F3" s="18">
        <f>TODAY()-2</f>
        <v/>
      </c>
      <c r="G3" s="18" t="n"/>
      <c r="H3" s="14" t="n"/>
      <c r="I3" s="14" t="n"/>
      <c r="J3" s="10" t="n"/>
      <c r="K3" s="15">
        <f>IF(OR(A3="",D3=""),"",D3-H3-I3)</f>
        <v/>
      </c>
      <c r="L3" s="12">
        <f>IF(K3="","",IF(K3&gt;0,"На руках",IF(I3&gt;0,IF(H3&gt;0,"Удержан частично","Удержан"),"Возвращён")))</f>
        <v/>
      </c>
      <c r="M3" s="10" t="inlineStr">
        <is>
          <t>пример</t>
        </is>
      </c>
      <c r="N3" s="19">
        <f>IF(K3="","",IF(K3&gt;0,IFERROR(IF(INDEX(Брони!$F$2:$F$500,MATCH(A3,Брони!$A$2:$A$500,0))="Возвращена",TODAY()-INT(INDEX(Брони!$E$2:$E$500,MATCH(A3,Брони!$A$2:$A$500,0))),""),""),""))</f>
        <v/>
      </c>
      <c r="O3" s="19">
        <f>IF(OR(N3="",Настройки!$B$8=""),"",IF(N3&gt;Настройки!$B$8,1,""))</f>
        <v/>
      </c>
    </row>
    <row r="4">
      <c r="A4" s="9" t="n">
        <v>1003</v>
      </c>
      <c r="B4" s="12">
        <f>IF(A4="","",IFERROR(INDEX(Брони!$C$2:$C$500,MATCH(A4,Брони!$A$2:$A$500,0)),""))</f>
        <v/>
      </c>
      <c r="C4" s="12">
        <f>IF(A4="","",IFERROR(INDEX(Брони!$B$2:$B$500,MATCH(A4,Брони!$A$2:$A$500,0)),""))</f>
        <v/>
      </c>
      <c r="D4" s="14" t="n">
        <v>500</v>
      </c>
      <c r="E4" s="10" t="inlineStr">
        <is>
          <t>Перевод</t>
        </is>
      </c>
      <c r="F4" s="18">
        <f>TODAY()</f>
        <v/>
      </c>
      <c r="G4" s="18" t="n"/>
      <c r="H4" s="14" t="n"/>
      <c r="I4" s="14" t="n"/>
      <c r="J4" s="10" t="n"/>
      <c r="K4" s="15">
        <f>IF(OR(A4="",D4=""),"",D4-H4-I4)</f>
        <v/>
      </c>
      <c r="L4" s="12">
        <f>IF(K4="","",IF(K4&gt;0,"На руках",IF(I4&gt;0,IF(H4&gt;0,"Удержан частично","Удержан"),"Возвращён")))</f>
        <v/>
      </c>
      <c r="M4" s="10" t="inlineStr">
        <is>
          <t>пример</t>
        </is>
      </c>
      <c r="N4" s="19">
        <f>IF(K4="","",IF(K4&gt;0,IFERROR(IF(INDEX(Брони!$F$2:$F$500,MATCH(A4,Брони!$A$2:$A$500,0))="Возвращена",TODAY()-INT(INDEX(Брони!$E$2:$E$500,MATCH(A4,Брони!$A$2:$A$500,0))),""),""),""))</f>
        <v/>
      </c>
      <c r="O4" s="19">
        <f>IF(OR(N4="",Настройки!$B$8=""),"",IF(N4&gt;Настройки!$B$8,1,""))</f>
        <v/>
      </c>
    </row>
    <row r="5">
      <c r="A5" s="9" t="n"/>
      <c r="B5" s="12">
        <f>IF(A5="","",IFERROR(INDEX(Брони!$C$2:$C$500,MATCH(A5,Брони!$A$2:$A$500,0)),""))</f>
        <v/>
      </c>
      <c r="C5" s="12">
        <f>IF(A5="","",IFERROR(INDEX(Брони!$B$2:$B$500,MATCH(A5,Брони!$A$2:$A$500,0)),""))</f>
        <v/>
      </c>
      <c r="D5" s="14" t="n"/>
      <c r="E5" s="10" t="n"/>
      <c r="F5" s="18" t="n"/>
      <c r="G5" s="18" t="n"/>
      <c r="H5" s="14" t="n"/>
      <c r="I5" s="14" t="n"/>
      <c r="J5" s="10" t="n"/>
      <c r="K5" s="15">
        <f>IF(OR(A5="",D5=""),"",D5-H5-I5)</f>
        <v/>
      </c>
      <c r="L5" s="12">
        <f>IF(K5="","",IF(K5&gt;0,"На руках",IF(I5&gt;0,IF(H5&gt;0,"Удержан частично","Удержан"),"Возвращён")))</f>
        <v/>
      </c>
      <c r="M5" s="10" t="n"/>
      <c r="N5" s="19">
        <f>IF(K5="","",IF(K5&gt;0,IFERROR(IF(INDEX(Брони!$F$2:$F$500,MATCH(A5,Брони!$A$2:$A$500,0))="Возвращена",TODAY()-INT(INDEX(Брони!$E$2:$E$500,MATCH(A5,Брони!$A$2:$A$500,0))),""),""),""))</f>
        <v/>
      </c>
      <c r="O5" s="19">
        <f>IF(OR(N5="",Настройки!$B$8=""),"",IF(N5&gt;Настройки!$B$8,1,""))</f>
        <v/>
      </c>
    </row>
    <row r="6">
      <c r="A6" s="9" t="n"/>
      <c r="B6" s="12">
        <f>IF(A6="","",IFERROR(INDEX(Брони!$C$2:$C$500,MATCH(A6,Брони!$A$2:$A$500,0)),""))</f>
        <v/>
      </c>
      <c r="C6" s="12">
        <f>IF(A6="","",IFERROR(INDEX(Брони!$B$2:$B$500,MATCH(A6,Брони!$A$2:$A$500,0)),""))</f>
        <v/>
      </c>
      <c r="D6" s="14" t="n"/>
      <c r="E6" s="10" t="n"/>
      <c r="F6" s="18" t="n"/>
      <c r="G6" s="18" t="n"/>
      <c r="H6" s="14" t="n"/>
      <c r="I6" s="14" t="n"/>
      <c r="J6" s="10" t="n"/>
      <c r="K6" s="15">
        <f>IF(OR(A6="",D6=""),"",D6-H6-I6)</f>
        <v/>
      </c>
      <c r="L6" s="12">
        <f>IF(K6="","",IF(K6&gt;0,"На руках",IF(I6&gt;0,IF(H6&gt;0,"Удержан частично","Удержан"),"Возвращён")))</f>
        <v/>
      </c>
      <c r="M6" s="10" t="n"/>
      <c r="N6" s="19">
        <f>IF(K6="","",IF(K6&gt;0,IFERROR(IF(INDEX(Брони!$F$2:$F$500,MATCH(A6,Брони!$A$2:$A$500,0))="Возвращена",TODAY()-INT(INDEX(Брони!$E$2:$E$500,MATCH(A6,Брони!$A$2:$A$500,0))),""),""),""))</f>
        <v/>
      </c>
      <c r="O6" s="19">
        <f>IF(OR(N6="",Настройки!$B$8=""),"",IF(N6&gt;Настройки!$B$8,1,""))</f>
        <v/>
      </c>
    </row>
    <row r="7">
      <c r="A7" s="9" t="n"/>
      <c r="B7" s="12">
        <f>IF(A7="","",IFERROR(INDEX(Брони!$C$2:$C$500,MATCH(A7,Брони!$A$2:$A$500,0)),""))</f>
        <v/>
      </c>
      <c r="C7" s="12">
        <f>IF(A7="","",IFERROR(INDEX(Брони!$B$2:$B$500,MATCH(A7,Брони!$A$2:$A$500,0)),""))</f>
        <v/>
      </c>
      <c r="D7" s="14" t="n"/>
      <c r="E7" s="10" t="n"/>
      <c r="F7" s="18" t="n"/>
      <c r="G7" s="18" t="n"/>
      <c r="H7" s="14" t="n"/>
      <c r="I7" s="14" t="n"/>
      <c r="J7" s="10" t="n"/>
      <c r="K7" s="15">
        <f>IF(OR(A7="",D7=""),"",D7-H7-I7)</f>
        <v/>
      </c>
      <c r="L7" s="12">
        <f>IF(K7="","",IF(K7&gt;0,"На руках",IF(I7&gt;0,IF(H7&gt;0,"Удержан частично","Удержан"),"Возвращён")))</f>
        <v/>
      </c>
      <c r="M7" s="10" t="n"/>
      <c r="N7" s="19">
        <f>IF(K7="","",IF(K7&gt;0,IFERROR(IF(INDEX(Брони!$F$2:$F$500,MATCH(A7,Брони!$A$2:$A$500,0))="Возвращена",TODAY()-INT(INDEX(Брони!$E$2:$E$500,MATCH(A7,Брони!$A$2:$A$500,0))),""),""),""))</f>
        <v/>
      </c>
      <c r="O7" s="19">
        <f>IF(OR(N7="",Настройки!$B$8=""),"",IF(N7&gt;Настройки!$B$8,1,""))</f>
        <v/>
      </c>
    </row>
    <row r="8">
      <c r="A8" s="9" t="n"/>
      <c r="B8" s="12">
        <f>IF(A8="","",IFERROR(INDEX(Брони!$C$2:$C$500,MATCH(A8,Брони!$A$2:$A$500,0)),""))</f>
        <v/>
      </c>
      <c r="C8" s="12">
        <f>IF(A8="","",IFERROR(INDEX(Брони!$B$2:$B$500,MATCH(A8,Брони!$A$2:$A$500,0)),""))</f>
        <v/>
      </c>
      <c r="D8" s="14" t="n"/>
      <c r="E8" s="10" t="n"/>
      <c r="F8" s="18" t="n"/>
      <c r="G8" s="18" t="n"/>
      <c r="H8" s="14" t="n"/>
      <c r="I8" s="14" t="n"/>
      <c r="J8" s="10" t="n"/>
      <c r="K8" s="15">
        <f>IF(OR(A8="",D8=""),"",D8-H8-I8)</f>
        <v/>
      </c>
      <c r="L8" s="12">
        <f>IF(K8="","",IF(K8&gt;0,"На руках",IF(I8&gt;0,IF(H8&gt;0,"Удержан частично","Удержан"),"Возвращён")))</f>
        <v/>
      </c>
      <c r="M8" s="10" t="n"/>
      <c r="N8" s="19">
        <f>IF(K8="","",IF(K8&gt;0,IFERROR(IF(INDEX(Брони!$F$2:$F$500,MATCH(A8,Брони!$A$2:$A$500,0))="Возвращена",TODAY()-INT(INDEX(Брони!$E$2:$E$500,MATCH(A8,Брони!$A$2:$A$500,0))),""),""),""))</f>
        <v/>
      </c>
      <c r="O8" s="19">
        <f>IF(OR(N8="",Настройки!$B$8=""),"",IF(N8&gt;Настройки!$B$8,1,""))</f>
        <v/>
      </c>
    </row>
    <row r="9">
      <c r="A9" s="9" t="n"/>
      <c r="B9" s="12">
        <f>IF(A9="","",IFERROR(INDEX(Брони!$C$2:$C$500,MATCH(A9,Брони!$A$2:$A$500,0)),""))</f>
        <v/>
      </c>
      <c r="C9" s="12">
        <f>IF(A9="","",IFERROR(INDEX(Брони!$B$2:$B$500,MATCH(A9,Брони!$A$2:$A$500,0)),""))</f>
        <v/>
      </c>
      <c r="D9" s="14" t="n"/>
      <c r="E9" s="10" t="n"/>
      <c r="F9" s="18" t="n"/>
      <c r="G9" s="18" t="n"/>
      <c r="H9" s="14" t="n"/>
      <c r="I9" s="14" t="n"/>
      <c r="J9" s="10" t="n"/>
      <c r="K9" s="15">
        <f>IF(OR(A9="",D9=""),"",D9-H9-I9)</f>
        <v/>
      </c>
      <c r="L9" s="12">
        <f>IF(K9="","",IF(K9&gt;0,"На руках",IF(I9&gt;0,IF(H9&gt;0,"Удержан частично","Удержан"),"Возвращён")))</f>
        <v/>
      </c>
      <c r="M9" s="10" t="n"/>
      <c r="N9" s="19">
        <f>IF(K9="","",IF(K9&gt;0,IFERROR(IF(INDEX(Брони!$F$2:$F$500,MATCH(A9,Брони!$A$2:$A$500,0))="Возвращена",TODAY()-INT(INDEX(Брони!$E$2:$E$500,MATCH(A9,Брони!$A$2:$A$500,0))),""),""),""))</f>
        <v/>
      </c>
      <c r="O9" s="19">
        <f>IF(OR(N9="",Настройки!$B$8=""),"",IF(N9&gt;Настройки!$B$8,1,""))</f>
        <v/>
      </c>
    </row>
    <row r="10">
      <c r="A10" s="9" t="n"/>
      <c r="B10" s="12">
        <f>IF(A10="","",IFERROR(INDEX(Брони!$C$2:$C$500,MATCH(A10,Брони!$A$2:$A$500,0)),""))</f>
        <v/>
      </c>
      <c r="C10" s="12">
        <f>IF(A10="","",IFERROR(INDEX(Брони!$B$2:$B$500,MATCH(A10,Брони!$A$2:$A$500,0)),""))</f>
        <v/>
      </c>
      <c r="D10" s="14" t="n"/>
      <c r="E10" s="10" t="n"/>
      <c r="F10" s="18" t="n"/>
      <c r="G10" s="18" t="n"/>
      <c r="H10" s="14" t="n"/>
      <c r="I10" s="14" t="n"/>
      <c r="J10" s="10" t="n"/>
      <c r="K10" s="15">
        <f>IF(OR(A10="",D10=""),"",D10-H10-I10)</f>
        <v/>
      </c>
      <c r="L10" s="12">
        <f>IF(K10="","",IF(K10&gt;0,"На руках",IF(I10&gt;0,IF(H10&gt;0,"Удержан частично","Удержан"),"Возвращён")))</f>
        <v/>
      </c>
      <c r="M10" s="10" t="n"/>
      <c r="N10" s="19">
        <f>IF(K10="","",IF(K10&gt;0,IFERROR(IF(INDEX(Брони!$F$2:$F$500,MATCH(A10,Брони!$A$2:$A$500,0))="Возвращена",TODAY()-INT(INDEX(Брони!$E$2:$E$500,MATCH(A10,Брони!$A$2:$A$500,0))),""),""),""))</f>
        <v/>
      </c>
      <c r="O10" s="19">
        <f>IF(OR(N10="",Настройки!$B$8=""),"",IF(N10&gt;Настройки!$B$8,1,""))</f>
        <v/>
      </c>
    </row>
    <row r="11">
      <c r="A11" s="9" t="n"/>
      <c r="B11" s="12">
        <f>IF(A11="","",IFERROR(INDEX(Брони!$C$2:$C$500,MATCH(A11,Брони!$A$2:$A$500,0)),""))</f>
        <v/>
      </c>
      <c r="C11" s="12">
        <f>IF(A11="","",IFERROR(INDEX(Брони!$B$2:$B$500,MATCH(A11,Брони!$A$2:$A$500,0)),""))</f>
        <v/>
      </c>
      <c r="D11" s="14" t="n"/>
      <c r="E11" s="10" t="n"/>
      <c r="F11" s="18" t="n"/>
      <c r="G11" s="18" t="n"/>
      <c r="H11" s="14" t="n"/>
      <c r="I11" s="14" t="n"/>
      <c r="J11" s="10" t="n"/>
      <c r="K11" s="15">
        <f>IF(OR(A11="",D11=""),"",D11-H11-I11)</f>
        <v/>
      </c>
      <c r="L11" s="12">
        <f>IF(K11="","",IF(K11&gt;0,"На руках",IF(I11&gt;0,IF(H11&gt;0,"Удержан частично","Удержан"),"Возвращён")))</f>
        <v/>
      </c>
      <c r="M11" s="10" t="n"/>
      <c r="N11" s="19">
        <f>IF(K11="","",IF(K11&gt;0,IFERROR(IF(INDEX(Брони!$F$2:$F$500,MATCH(A11,Брони!$A$2:$A$500,0))="Возвращена",TODAY()-INT(INDEX(Брони!$E$2:$E$500,MATCH(A11,Брони!$A$2:$A$500,0))),""),""),""))</f>
        <v/>
      </c>
      <c r="O11" s="19">
        <f>IF(OR(N11="",Настройки!$B$8=""),"",IF(N11&gt;Настройки!$B$8,1,""))</f>
        <v/>
      </c>
    </row>
    <row r="12">
      <c r="A12" s="9" t="n"/>
      <c r="B12" s="12">
        <f>IF(A12="","",IFERROR(INDEX(Брони!$C$2:$C$500,MATCH(A12,Брони!$A$2:$A$500,0)),""))</f>
        <v/>
      </c>
      <c r="C12" s="12">
        <f>IF(A12="","",IFERROR(INDEX(Брони!$B$2:$B$500,MATCH(A12,Брони!$A$2:$A$500,0)),""))</f>
        <v/>
      </c>
      <c r="D12" s="14" t="n"/>
      <c r="E12" s="10" t="n"/>
      <c r="F12" s="18" t="n"/>
      <c r="G12" s="18" t="n"/>
      <c r="H12" s="14" t="n"/>
      <c r="I12" s="14" t="n"/>
      <c r="J12" s="10" t="n"/>
      <c r="K12" s="15">
        <f>IF(OR(A12="",D12=""),"",D12-H12-I12)</f>
        <v/>
      </c>
      <c r="L12" s="12">
        <f>IF(K12="","",IF(K12&gt;0,"На руках",IF(I12&gt;0,IF(H12&gt;0,"Удержан частично","Удержан"),"Возвращён")))</f>
        <v/>
      </c>
      <c r="M12" s="10" t="n"/>
      <c r="N12" s="19">
        <f>IF(K12="","",IF(K12&gt;0,IFERROR(IF(INDEX(Брони!$F$2:$F$500,MATCH(A12,Брони!$A$2:$A$500,0))="Возвращена",TODAY()-INT(INDEX(Брони!$E$2:$E$500,MATCH(A12,Брони!$A$2:$A$500,0))),""),""),""))</f>
        <v/>
      </c>
      <c r="O12" s="19">
        <f>IF(OR(N12="",Настройки!$B$8=""),"",IF(N12&gt;Настройки!$B$8,1,""))</f>
        <v/>
      </c>
    </row>
    <row r="13">
      <c r="A13" s="9" t="n"/>
      <c r="B13" s="12">
        <f>IF(A13="","",IFERROR(INDEX(Брони!$C$2:$C$500,MATCH(A13,Брони!$A$2:$A$500,0)),""))</f>
        <v/>
      </c>
      <c r="C13" s="12">
        <f>IF(A13="","",IFERROR(INDEX(Брони!$B$2:$B$500,MATCH(A13,Брони!$A$2:$A$500,0)),""))</f>
        <v/>
      </c>
      <c r="D13" s="14" t="n"/>
      <c r="E13" s="10" t="n"/>
      <c r="F13" s="18" t="n"/>
      <c r="G13" s="18" t="n"/>
      <c r="H13" s="14" t="n"/>
      <c r="I13" s="14" t="n"/>
      <c r="J13" s="10" t="n"/>
      <c r="K13" s="15">
        <f>IF(OR(A13="",D13=""),"",D13-H13-I13)</f>
        <v/>
      </c>
      <c r="L13" s="12">
        <f>IF(K13="","",IF(K13&gt;0,"На руках",IF(I13&gt;0,IF(H13&gt;0,"Удержан частично","Удержан"),"Возвращён")))</f>
        <v/>
      </c>
      <c r="M13" s="10" t="n"/>
      <c r="N13" s="19">
        <f>IF(K13="","",IF(K13&gt;0,IFERROR(IF(INDEX(Брони!$F$2:$F$500,MATCH(A13,Брони!$A$2:$A$500,0))="Возвращена",TODAY()-INT(INDEX(Брони!$E$2:$E$500,MATCH(A13,Брони!$A$2:$A$500,0))),""),""),""))</f>
        <v/>
      </c>
      <c r="O13" s="19">
        <f>IF(OR(N13="",Настройки!$B$8=""),"",IF(N13&gt;Настройки!$B$8,1,""))</f>
        <v/>
      </c>
    </row>
    <row r="14">
      <c r="A14" s="9" t="n"/>
      <c r="B14" s="12">
        <f>IF(A14="","",IFERROR(INDEX(Брони!$C$2:$C$500,MATCH(A14,Брони!$A$2:$A$500,0)),""))</f>
        <v/>
      </c>
      <c r="C14" s="12">
        <f>IF(A14="","",IFERROR(INDEX(Брони!$B$2:$B$500,MATCH(A14,Брони!$A$2:$A$500,0)),""))</f>
        <v/>
      </c>
      <c r="D14" s="14" t="n"/>
      <c r="E14" s="10" t="n"/>
      <c r="F14" s="18" t="n"/>
      <c r="G14" s="18" t="n"/>
      <c r="H14" s="14" t="n"/>
      <c r="I14" s="14" t="n"/>
      <c r="J14" s="10" t="n"/>
      <c r="K14" s="15">
        <f>IF(OR(A14="",D14=""),"",D14-H14-I14)</f>
        <v/>
      </c>
      <c r="L14" s="12">
        <f>IF(K14="","",IF(K14&gt;0,"На руках",IF(I14&gt;0,IF(H14&gt;0,"Удержан частично","Удержан"),"Возвращён")))</f>
        <v/>
      </c>
      <c r="M14" s="10" t="n"/>
      <c r="N14" s="19">
        <f>IF(K14="","",IF(K14&gt;0,IFERROR(IF(INDEX(Брони!$F$2:$F$500,MATCH(A14,Брони!$A$2:$A$500,0))="Возвращена",TODAY()-INT(INDEX(Брони!$E$2:$E$500,MATCH(A14,Брони!$A$2:$A$500,0))),""),""),""))</f>
        <v/>
      </c>
      <c r="O14" s="19">
        <f>IF(OR(N14="",Настройки!$B$8=""),"",IF(N14&gt;Настройки!$B$8,1,""))</f>
        <v/>
      </c>
    </row>
    <row r="15">
      <c r="A15" s="9" t="n"/>
      <c r="B15" s="12">
        <f>IF(A15="","",IFERROR(INDEX(Брони!$C$2:$C$500,MATCH(A15,Брони!$A$2:$A$500,0)),""))</f>
        <v/>
      </c>
      <c r="C15" s="12">
        <f>IF(A15="","",IFERROR(INDEX(Брони!$B$2:$B$500,MATCH(A15,Брони!$A$2:$A$500,0)),""))</f>
        <v/>
      </c>
      <c r="D15" s="14" t="n"/>
      <c r="E15" s="10" t="n"/>
      <c r="F15" s="18" t="n"/>
      <c r="G15" s="18" t="n"/>
      <c r="H15" s="14" t="n"/>
      <c r="I15" s="14" t="n"/>
      <c r="J15" s="10" t="n"/>
      <c r="K15" s="15">
        <f>IF(OR(A15="",D15=""),"",D15-H15-I15)</f>
        <v/>
      </c>
      <c r="L15" s="12">
        <f>IF(K15="","",IF(K15&gt;0,"На руках",IF(I15&gt;0,IF(H15&gt;0,"Удержан частично","Удержан"),"Возвращён")))</f>
        <v/>
      </c>
      <c r="M15" s="10" t="n"/>
      <c r="N15" s="19">
        <f>IF(K15="","",IF(K15&gt;0,IFERROR(IF(INDEX(Брони!$F$2:$F$500,MATCH(A15,Брони!$A$2:$A$500,0))="Возвращена",TODAY()-INT(INDEX(Брони!$E$2:$E$500,MATCH(A15,Брони!$A$2:$A$500,0))),""),""),""))</f>
        <v/>
      </c>
      <c r="O15" s="19">
        <f>IF(OR(N15="",Настройки!$B$8=""),"",IF(N15&gt;Настройки!$B$8,1,""))</f>
        <v/>
      </c>
    </row>
    <row r="16">
      <c r="A16" s="9" t="n"/>
      <c r="B16" s="12">
        <f>IF(A16="","",IFERROR(INDEX(Брони!$C$2:$C$500,MATCH(A16,Брони!$A$2:$A$500,0)),""))</f>
        <v/>
      </c>
      <c r="C16" s="12">
        <f>IF(A16="","",IFERROR(INDEX(Брони!$B$2:$B$500,MATCH(A16,Брони!$A$2:$A$500,0)),""))</f>
        <v/>
      </c>
      <c r="D16" s="14" t="n"/>
      <c r="E16" s="10" t="n"/>
      <c r="F16" s="18" t="n"/>
      <c r="G16" s="18" t="n"/>
      <c r="H16" s="14" t="n"/>
      <c r="I16" s="14" t="n"/>
      <c r="J16" s="10" t="n"/>
      <c r="K16" s="15">
        <f>IF(OR(A16="",D16=""),"",D16-H16-I16)</f>
        <v/>
      </c>
      <c r="L16" s="12">
        <f>IF(K16="","",IF(K16&gt;0,"На руках",IF(I16&gt;0,IF(H16&gt;0,"Удержан частично","Удержан"),"Возвращён")))</f>
        <v/>
      </c>
      <c r="M16" s="10" t="n"/>
      <c r="N16" s="19">
        <f>IF(K16="","",IF(K16&gt;0,IFERROR(IF(INDEX(Брони!$F$2:$F$500,MATCH(A16,Брони!$A$2:$A$500,0))="Возвращена",TODAY()-INT(INDEX(Брони!$E$2:$E$500,MATCH(A16,Брони!$A$2:$A$500,0))),""),""),""))</f>
        <v/>
      </c>
      <c r="O16" s="19">
        <f>IF(OR(N16="",Настройки!$B$8=""),"",IF(N16&gt;Настройки!$B$8,1,""))</f>
        <v/>
      </c>
    </row>
    <row r="17">
      <c r="A17" s="9" t="n"/>
      <c r="B17" s="12">
        <f>IF(A17="","",IFERROR(INDEX(Брони!$C$2:$C$500,MATCH(A17,Брони!$A$2:$A$500,0)),""))</f>
        <v/>
      </c>
      <c r="C17" s="12">
        <f>IF(A17="","",IFERROR(INDEX(Брони!$B$2:$B$500,MATCH(A17,Брони!$A$2:$A$500,0)),""))</f>
        <v/>
      </c>
      <c r="D17" s="14" t="n"/>
      <c r="E17" s="10" t="n"/>
      <c r="F17" s="18" t="n"/>
      <c r="G17" s="18" t="n"/>
      <c r="H17" s="14" t="n"/>
      <c r="I17" s="14" t="n"/>
      <c r="J17" s="10" t="n"/>
      <c r="K17" s="15">
        <f>IF(OR(A17="",D17=""),"",D17-H17-I17)</f>
        <v/>
      </c>
      <c r="L17" s="12">
        <f>IF(K17="","",IF(K17&gt;0,"На руках",IF(I17&gt;0,IF(H17&gt;0,"Удержан частично","Удержан"),"Возвращён")))</f>
        <v/>
      </c>
      <c r="M17" s="10" t="n"/>
      <c r="N17" s="19">
        <f>IF(K17="","",IF(K17&gt;0,IFERROR(IF(INDEX(Брони!$F$2:$F$500,MATCH(A17,Брони!$A$2:$A$500,0))="Возвращена",TODAY()-INT(INDEX(Брони!$E$2:$E$500,MATCH(A17,Брони!$A$2:$A$500,0))),""),""),""))</f>
        <v/>
      </c>
      <c r="O17" s="19">
        <f>IF(OR(N17="",Настройки!$B$8=""),"",IF(N17&gt;Настройки!$B$8,1,""))</f>
        <v/>
      </c>
    </row>
    <row r="18">
      <c r="A18" s="9" t="n"/>
      <c r="B18" s="12">
        <f>IF(A18="","",IFERROR(INDEX(Брони!$C$2:$C$500,MATCH(A18,Брони!$A$2:$A$500,0)),""))</f>
        <v/>
      </c>
      <c r="C18" s="12">
        <f>IF(A18="","",IFERROR(INDEX(Брони!$B$2:$B$500,MATCH(A18,Брони!$A$2:$A$500,0)),""))</f>
        <v/>
      </c>
      <c r="D18" s="14" t="n"/>
      <c r="E18" s="10" t="n"/>
      <c r="F18" s="18" t="n"/>
      <c r="G18" s="18" t="n"/>
      <c r="H18" s="14" t="n"/>
      <c r="I18" s="14" t="n"/>
      <c r="J18" s="10" t="n"/>
      <c r="K18" s="15">
        <f>IF(OR(A18="",D18=""),"",D18-H18-I18)</f>
        <v/>
      </c>
      <c r="L18" s="12">
        <f>IF(K18="","",IF(K18&gt;0,"На руках",IF(I18&gt;0,IF(H18&gt;0,"Удержан частично","Удержан"),"Возвращён")))</f>
        <v/>
      </c>
      <c r="M18" s="10" t="n"/>
      <c r="N18" s="19">
        <f>IF(K18="","",IF(K18&gt;0,IFERROR(IF(INDEX(Брони!$F$2:$F$500,MATCH(A18,Брони!$A$2:$A$500,0))="Возвращена",TODAY()-INT(INDEX(Брони!$E$2:$E$500,MATCH(A18,Брони!$A$2:$A$500,0))),""),""),""))</f>
        <v/>
      </c>
      <c r="O18" s="19">
        <f>IF(OR(N18="",Настройки!$B$8=""),"",IF(N18&gt;Настройки!$B$8,1,""))</f>
        <v/>
      </c>
    </row>
    <row r="19">
      <c r="A19" s="9" t="n"/>
      <c r="B19" s="12">
        <f>IF(A19="","",IFERROR(INDEX(Брони!$C$2:$C$500,MATCH(A19,Брони!$A$2:$A$500,0)),""))</f>
        <v/>
      </c>
      <c r="C19" s="12">
        <f>IF(A19="","",IFERROR(INDEX(Брони!$B$2:$B$500,MATCH(A19,Брони!$A$2:$A$500,0)),""))</f>
        <v/>
      </c>
      <c r="D19" s="14" t="n"/>
      <c r="E19" s="10" t="n"/>
      <c r="F19" s="18" t="n"/>
      <c r="G19" s="18" t="n"/>
      <c r="H19" s="14" t="n"/>
      <c r="I19" s="14" t="n"/>
      <c r="J19" s="10" t="n"/>
      <c r="K19" s="15">
        <f>IF(OR(A19="",D19=""),"",D19-H19-I19)</f>
        <v/>
      </c>
      <c r="L19" s="12">
        <f>IF(K19="","",IF(K19&gt;0,"На руках",IF(I19&gt;0,IF(H19&gt;0,"Удержан частично","Удержан"),"Возвращён")))</f>
        <v/>
      </c>
      <c r="M19" s="10" t="n"/>
      <c r="N19" s="19">
        <f>IF(K19="","",IF(K19&gt;0,IFERROR(IF(INDEX(Брони!$F$2:$F$500,MATCH(A19,Брони!$A$2:$A$500,0))="Возвращена",TODAY()-INT(INDEX(Брони!$E$2:$E$500,MATCH(A19,Брони!$A$2:$A$500,0))),""),""),""))</f>
        <v/>
      </c>
      <c r="O19" s="19">
        <f>IF(OR(N19="",Настройки!$B$8=""),"",IF(N19&gt;Настройки!$B$8,1,""))</f>
        <v/>
      </c>
    </row>
    <row r="20">
      <c r="A20" s="9" t="n"/>
      <c r="B20" s="12">
        <f>IF(A20="","",IFERROR(INDEX(Брони!$C$2:$C$500,MATCH(A20,Брони!$A$2:$A$500,0)),""))</f>
        <v/>
      </c>
      <c r="C20" s="12">
        <f>IF(A20="","",IFERROR(INDEX(Брони!$B$2:$B$500,MATCH(A20,Брони!$A$2:$A$500,0)),""))</f>
        <v/>
      </c>
      <c r="D20" s="14" t="n"/>
      <c r="E20" s="10" t="n"/>
      <c r="F20" s="18" t="n"/>
      <c r="G20" s="18" t="n"/>
      <c r="H20" s="14" t="n"/>
      <c r="I20" s="14" t="n"/>
      <c r="J20" s="10" t="n"/>
      <c r="K20" s="15">
        <f>IF(OR(A20="",D20=""),"",D20-H20-I20)</f>
        <v/>
      </c>
      <c r="L20" s="12">
        <f>IF(K20="","",IF(K20&gt;0,"На руках",IF(I20&gt;0,IF(H20&gt;0,"Удержан частично","Удержан"),"Возвращён")))</f>
        <v/>
      </c>
      <c r="M20" s="10" t="n"/>
      <c r="N20" s="19">
        <f>IF(K20="","",IF(K20&gt;0,IFERROR(IF(INDEX(Брони!$F$2:$F$500,MATCH(A20,Брони!$A$2:$A$500,0))="Возвращена",TODAY()-INT(INDEX(Брони!$E$2:$E$500,MATCH(A20,Брони!$A$2:$A$500,0))),""),""),""))</f>
        <v/>
      </c>
      <c r="O20" s="19">
        <f>IF(OR(N20="",Настройки!$B$8=""),"",IF(N20&gt;Настройки!$B$8,1,""))</f>
        <v/>
      </c>
    </row>
    <row r="21">
      <c r="A21" s="9" t="n"/>
      <c r="B21" s="12">
        <f>IF(A21="","",IFERROR(INDEX(Брони!$C$2:$C$500,MATCH(A21,Брони!$A$2:$A$500,0)),""))</f>
        <v/>
      </c>
      <c r="C21" s="12">
        <f>IF(A21="","",IFERROR(INDEX(Брони!$B$2:$B$500,MATCH(A21,Брони!$A$2:$A$500,0)),""))</f>
        <v/>
      </c>
      <c r="D21" s="14" t="n"/>
      <c r="E21" s="10" t="n"/>
      <c r="F21" s="18" t="n"/>
      <c r="G21" s="18" t="n"/>
      <c r="H21" s="14" t="n"/>
      <c r="I21" s="14" t="n"/>
      <c r="J21" s="10" t="n"/>
      <c r="K21" s="15">
        <f>IF(OR(A21="",D21=""),"",D21-H21-I21)</f>
        <v/>
      </c>
      <c r="L21" s="12">
        <f>IF(K21="","",IF(K21&gt;0,"На руках",IF(I21&gt;0,IF(H21&gt;0,"Удержан частично","Удержан"),"Возвращён")))</f>
        <v/>
      </c>
      <c r="M21" s="10" t="n"/>
      <c r="N21" s="19">
        <f>IF(K21="","",IF(K21&gt;0,IFERROR(IF(INDEX(Брони!$F$2:$F$500,MATCH(A21,Брони!$A$2:$A$500,0))="Возвращена",TODAY()-INT(INDEX(Брони!$E$2:$E$500,MATCH(A21,Брони!$A$2:$A$500,0))),""),""),""))</f>
        <v/>
      </c>
      <c r="O21" s="19">
        <f>IF(OR(N21="",Настройки!$B$8=""),"",IF(N21&gt;Настройки!$B$8,1,""))</f>
        <v/>
      </c>
    </row>
    <row r="22">
      <c r="A22" s="9" t="n"/>
      <c r="B22" s="12">
        <f>IF(A22="","",IFERROR(INDEX(Брони!$C$2:$C$500,MATCH(A22,Брони!$A$2:$A$500,0)),""))</f>
        <v/>
      </c>
      <c r="C22" s="12">
        <f>IF(A22="","",IFERROR(INDEX(Брони!$B$2:$B$500,MATCH(A22,Брони!$A$2:$A$500,0)),""))</f>
        <v/>
      </c>
      <c r="D22" s="14" t="n"/>
      <c r="E22" s="10" t="n"/>
      <c r="F22" s="18" t="n"/>
      <c r="G22" s="18" t="n"/>
      <c r="H22" s="14" t="n"/>
      <c r="I22" s="14" t="n"/>
      <c r="J22" s="10" t="n"/>
      <c r="K22" s="15">
        <f>IF(OR(A22="",D22=""),"",D22-H22-I22)</f>
        <v/>
      </c>
      <c r="L22" s="12">
        <f>IF(K22="","",IF(K22&gt;0,"На руках",IF(I22&gt;0,IF(H22&gt;0,"Удержан частично","Удержан"),"Возвращён")))</f>
        <v/>
      </c>
      <c r="M22" s="10" t="n"/>
      <c r="N22" s="19">
        <f>IF(K22="","",IF(K22&gt;0,IFERROR(IF(INDEX(Брони!$F$2:$F$500,MATCH(A22,Брони!$A$2:$A$500,0))="Возвращена",TODAY()-INT(INDEX(Брони!$E$2:$E$500,MATCH(A22,Брони!$A$2:$A$500,0))),""),""),""))</f>
        <v/>
      </c>
      <c r="O22" s="19">
        <f>IF(OR(N22="",Настройки!$B$8=""),"",IF(N22&gt;Настройки!$B$8,1,""))</f>
        <v/>
      </c>
    </row>
    <row r="23">
      <c r="A23" s="9" t="n"/>
      <c r="B23" s="12">
        <f>IF(A23="","",IFERROR(INDEX(Брони!$C$2:$C$500,MATCH(A23,Брони!$A$2:$A$500,0)),""))</f>
        <v/>
      </c>
      <c r="C23" s="12">
        <f>IF(A23="","",IFERROR(INDEX(Брони!$B$2:$B$500,MATCH(A23,Брони!$A$2:$A$500,0)),""))</f>
        <v/>
      </c>
      <c r="D23" s="14" t="n"/>
      <c r="E23" s="10" t="n"/>
      <c r="F23" s="18" t="n"/>
      <c r="G23" s="18" t="n"/>
      <c r="H23" s="14" t="n"/>
      <c r="I23" s="14" t="n"/>
      <c r="J23" s="10" t="n"/>
      <c r="K23" s="15">
        <f>IF(OR(A23="",D23=""),"",D23-H23-I23)</f>
        <v/>
      </c>
      <c r="L23" s="12">
        <f>IF(K23="","",IF(K23&gt;0,"На руках",IF(I23&gt;0,IF(H23&gt;0,"Удержан частично","Удержан"),"Возвращён")))</f>
        <v/>
      </c>
      <c r="M23" s="10" t="n"/>
      <c r="N23" s="19">
        <f>IF(K23="","",IF(K23&gt;0,IFERROR(IF(INDEX(Брони!$F$2:$F$500,MATCH(A23,Брони!$A$2:$A$500,0))="Возвращена",TODAY()-INT(INDEX(Брони!$E$2:$E$500,MATCH(A23,Брони!$A$2:$A$500,0))),""),""),""))</f>
        <v/>
      </c>
      <c r="O23" s="19">
        <f>IF(OR(N23="",Настройки!$B$8=""),"",IF(N23&gt;Настройки!$B$8,1,""))</f>
        <v/>
      </c>
    </row>
    <row r="24">
      <c r="A24" s="9" t="n"/>
      <c r="B24" s="12">
        <f>IF(A24="","",IFERROR(INDEX(Брони!$C$2:$C$500,MATCH(A24,Брони!$A$2:$A$500,0)),""))</f>
        <v/>
      </c>
      <c r="C24" s="12">
        <f>IF(A24="","",IFERROR(INDEX(Брони!$B$2:$B$500,MATCH(A24,Брони!$A$2:$A$500,0)),""))</f>
        <v/>
      </c>
      <c r="D24" s="14" t="n"/>
      <c r="E24" s="10" t="n"/>
      <c r="F24" s="18" t="n"/>
      <c r="G24" s="18" t="n"/>
      <c r="H24" s="14" t="n"/>
      <c r="I24" s="14" t="n"/>
      <c r="J24" s="10" t="n"/>
      <c r="K24" s="15">
        <f>IF(OR(A24="",D24=""),"",D24-H24-I24)</f>
        <v/>
      </c>
      <c r="L24" s="12">
        <f>IF(K24="","",IF(K24&gt;0,"На руках",IF(I24&gt;0,IF(H24&gt;0,"Удержан частично","Удержан"),"Возвращён")))</f>
        <v/>
      </c>
      <c r="M24" s="10" t="n"/>
      <c r="N24" s="19">
        <f>IF(K24="","",IF(K24&gt;0,IFERROR(IF(INDEX(Брони!$F$2:$F$500,MATCH(A24,Брони!$A$2:$A$500,0))="Возвращена",TODAY()-INT(INDEX(Брони!$E$2:$E$500,MATCH(A24,Брони!$A$2:$A$500,0))),""),""),""))</f>
        <v/>
      </c>
      <c r="O24" s="19">
        <f>IF(OR(N24="",Настройки!$B$8=""),"",IF(N24&gt;Настройки!$B$8,1,""))</f>
        <v/>
      </c>
    </row>
    <row r="25">
      <c r="A25" s="9" t="n"/>
      <c r="B25" s="12">
        <f>IF(A25="","",IFERROR(INDEX(Брони!$C$2:$C$500,MATCH(A25,Брони!$A$2:$A$500,0)),""))</f>
        <v/>
      </c>
      <c r="C25" s="12">
        <f>IF(A25="","",IFERROR(INDEX(Брони!$B$2:$B$500,MATCH(A25,Брони!$A$2:$A$500,0)),""))</f>
        <v/>
      </c>
      <c r="D25" s="14" t="n"/>
      <c r="E25" s="10" t="n"/>
      <c r="F25" s="18" t="n"/>
      <c r="G25" s="18" t="n"/>
      <c r="H25" s="14" t="n"/>
      <c r="I25" s="14" t="n"/>
      <c r="J25" s="10" t="n"/>
      <c r="K25" s="15">
        <f>IF(OR(A25="",D25=""),"",D25-H25-I25)</f>
        <v/>
      </c>
      <c r="L25" s="12">
        <f>IF(K25="","",IF(K25&gt;0,"На руках",IF(I25&gt;0,IF(H25&gt;0,"Удержан частично","Удержан"),"Возвращён")))</f>
        <v/>
      </c>
      <c r="M25" s="10" t="n"/>
      <c r="N25" s="19">
        <f>IF(K25="","",IF(K25&gt;0,IFERROR(IF(INDEX(Брони!$F$2:$F$500,MATCH(A25,Брони!$A$2:$A$500,0))="Возвращена",TODAY()-INT(INDEX(Брони!$E$2:$E$500,MATCH(A25,Брони!$A$2:$A$500,0))),""),""),""))</f>
        <v/>
      </c>
      <c r="O25" s="19">
        <f>IF(OR(N25="",Настройки!$B$8=""),"",IF(N25&gt;Настройки!$B$8,1,""))</f>
        <v/>
      </c>
    </row>
    <row r="26">
      <c r="A26" s="9" t="n"/>
      <c r="B26" s="12">
        <f>IF(A26="","",IFERROR(INDEX(Брони!$C$2:$C$500,MATCH(A26,Брони!$A$2:$A$500,0)),""))</f>
        <v/>
      </c>
      <c r="C26" s="12">
        <f>IF(A26="","",IFERROR(INDEX(Брони!$B$2:$B$500,MATCH(A26,Брони!$A$2:$A$500,0)),""))</f>
        <v/>
      </c>
      <c r="D26" s="14" t="n"/>
      <c r="E26" s="10" t="n"/>
      <c r="F26" s="18" t="n"/>
      <c r="G26" s="18" t="n"/>
      <c r="H26" s="14" t="n"/>
      <c r="I26" s="14" t="n"/>
      <c r="J26" s="10" t="n"/>
      <c r="K26" s="15">
        <f>IF(OR(A26="",D26=""),"",D26-H26-I26)</f>
        <v/>
      </c>
      <c r="L26" s="12">
        <f>IF(K26="","",IF(K26&gt;0,"На руках",IF(I26&gt;0,IF(H26&gt;0,"Удержан частично","Удержан"),"Возвращён")))</f>
        <v/>
      </c>
      <c r="M26" s="10" t="n"/>
      <c r="N26" s="19">
        <f>IF(K26="","",IF(K26&gt;0,IFERROR(IF(INDEX(Брони!$F$2:$F$500,MATCH(A26,Брони!$A$2:$A$500,0))="Возвращена",TODAY()-INT(INDEX(Брони!$E$2:$E$500,MATCH(A26,Брони!$A$2:$A$500,0))),""),""),""))</f>
        <v/>
      </c>
      <c r="O26" s="19">
        <f>IF(OR(N26="",Настройки!$B$8=""),"",IF(N26&gt;Настройки!$B$8,1,""))</f>
        <v/>
      </c>
    </row>
    <row r="27">
      <c r="A27" s="9" t="n"/>
      <c r="B27" s="12">
        <f>IF(A27="","",IFERROR(INDEX(Брони!$C$2:$C$500,MATCH(A27,Брони!$A$2:$A$500,0)),""))</f>
        <v/>
      </c>
      <c r="C27" s="12">
        <f>IF(A27="","",IFERROR(INDEX(Брони!$B$2:$B$500,MATCH(A27,Брони!$A$2:$A$500,0)),""))</f>
        <v/>
      </c>
      <c r="D27" s="14" t="n"/>
      <c r="E27" s="10" t="n"/>
      <c r="F27" s="18" t="n"/>
      <c r="G27" s="18" t="n"/>
      <c r="H27" s="14" t="n"/>
      <c r="I27" s="14" t="n"/>
      <c r="J27" s="10" t="n"/>
      <c r="K27" s="15">
        <f>IF(OR(A27="",D27=""),"",D27-H27-I27)</f>
        <v/>
      </c>
      <c r="L27" s="12">
        <f>IF(K27="","",IF(K27&gt;0,"На руках",IF(I27&gt;0,IF(H27&gt;0,"Удержан частично","Удержан"),"Возвращён")))</f>
        <v/>
      </c>
      <c r="M27" s="10" t="n"/>
      <c r="N27" s="19">
        <f>IF(K27="","",IF(K27&gt;0,IFERROR(IF(INDEX(Брони!$F$2:$F$500,MATCH(A27,Брони!$A$2:$A$500,0))="Возвращена",TODAY()-INT(INDEX(Брони!$E$2:$E$500,MATCH(A27,Брони!$A$2:$A$500,0))),""),""),""))</f>
        <v/>
      </c>
      <c r="O27" s="19">
        <f>IF(OR(N27="",Настройки!$B$8=""),"",IF(N27&gt;Настройки!$B$8,1,""))</f>
        <v/>
      </c>
    </row>
    <row r="28">
      <c r="A28" s="9" t="n"/>
      <c r="B28" s="12">
        <f>IF(A28="","",IFERROR(INDEX(Брони!$C$2:$C$500,MATCH(A28,Брони!$A$2:$A$500,0)),""))</f>
        <v/>
      </c>
      <c r="C28" s="12">
        <f>IF(A28="","",IFERROR(INDEX(Брони!$B$2:$B$500,MATCH(A28,Брони!$A$2:$A$500,0)),""))</f>
        <v/>
      </c>
      <c r="D28" s="14" t="n"/>
      <c r="E28" s="10" t="n"/>
      <c r="F28" s="18" t="n"/>
      <c r="G28" s="18" t="n"/>
      <c r="H28" s="14" t="n"/>
      <c r="I28" s="14" t="n"/>
      <c r="J28" s="10" t="n"/>
      <c r="K28" s="15">
        <f>IF(OR(A28="",D28=""),"",D28-H28-I28)</f>
        <v/>
      </c>
      <c r="L28" s="12">
        <f>IF(K28="","",IF(K28&gt;0,"На руках",IF(I28&gt;0,IF(H28&gt;0,"Удержан частично","Удержан"),"Возвращён")))</f>
        <v/>
      </c>
      <c r="M28" s="10" t="n"/>
      <c r="N28" s="19">
        <f>IF(K28="","",IF(K28&gt;0,IFERROR(IF(INDEX(Брони!$F$2:$F$500,MATCH(A28,Брони!$A$2:$A$500,0))="Возвращена",TODAY()-INT(INDEX(Брони!$E$2:$E$500,MATCH(A28,Брони!$A$2:$A$500,0))),""),""),""))</f>
        <v/>
      </c>
      <c r="O28" s="19">
        <f>IF(OR(N28="",Настройки!$B$8=""),"",IF(N28&gt;Настройки!$B$8,1,""))</f>
        <v/>
      </c>
    </row>
    <row r="29">
      <c r="A29" s="9" t="n"/>
      <c r="B29" s="12">
        <f>IF(A29="","",IFERROR(INDEX(Брони!$C$2:$C$500,MATCH(A29,Брони!$A$2:$A$500,0)),""))</f>
        <v/>
      </c>
      <c r="C29" s="12">
        <f>IF(A29="","",IFERROR(INDEX(Брони!$B$2:$B$500,MATCH(A29,Брони!$A$2:$A$500,0)),""))</f>
        <v/>
      </c>
      <c r="D29" s="14" t="n"/>
      <c r="E29" s="10" t="n"/>
      <c r="F29" s="18" t="n"/>
      <c r="G29" s="18" t="n"/>
      <c r="H29" s="14" t="n"/>
      <c r="I29" s="14" t="n"/>
      <c r="J29" s="10" t="n"/>
      <c r="K29" s="15">
        <f>IF(OR(A29="",D29=""),"",D29-H29-I29)</f>
        <v/>
      </c>
      <c r="L29" s="12">
        <f>IF(K29="","",IF(K29&gt;0,"На руках",IF(I29&gt;0,IF(H29&gt;0,"Удержан частично","Удержан"),"Возвращён")))</f>
        <v/>
      </c>
      <c r="M29" s="10" t="n"/>
      <c r="N29" s="19">
        <f>IF(K29="","",IF(K29&gt;0,IFERROR(IF(INDEX(Брони!$F$2:$F$500,MATCH(A29,Брони!$A$2:$A$500,0))="Возвращена",TODAY()-INT(INDEX(Брони!$E$2:$E$500,MATCH(A29,Брони!$A$2:$A$500,0))),""),""),""))</f>
        <v/>
      </c>
      <c r="O29" s="19">
        <f>IF(OR(N29="",Настройки!$B$8=""),"",IF(N29&gt;Настройки!$B$8,1,""))</f>
        <v/>
      </c>
    </row>
    <row r="30">
      <c r="A30" s="9" t="n"/>
      <c r="B30" s="12">
        <f>IF(A30="","",IFERROR(INDEX(Брони!$C$2:$C$500,MATCH(A30,Брони!$A$2:$A$500,0)),""))</f>
        <v/>
      </c>
      <c r="C30" s="12">
        <f>IF(A30="","",IFERROR(INDEX(Брони!$B$2:$B$500,MATCH(A30,Брони!$A$2:$A$500,0)),""))</f>
        <v/>
      </c>
      <c r="D30" s="14" t="n"/>
      <c r="E30" s="10" t="n"/>
      <c r="F30" s="18" t="n"/>
      <c r="G30" s="18" t="n"/>
      <c r="H30" s="14" t="n"/>
      <c r="I30" s="14" t="n"/>
      <c r="J30" s="10" t="n"/>
      <c r="K30" s="15">
        <f>IF(OR(A30="",D30=""),"",D30-H30-I30)</f>
        <v/>
      </c>
      <c r="L30" s="12">
        <f>IF(K30="","",IF(K30&gt;0,"На руках",IF(I30&gt;0,IF(H30&gt;0,"Удержан частично","Удержан"),"Возвращён")))</f>
        <v/>
      </c>
      <c r="M30" s="10" t="n"/>
      <c r="N30" s="19">
        <f>IF(K30="","",IF(K30&gt;0,IFERROR(IF(INDEX(Брони!$F$2:$F$500,MATCH(A30,Брони!$A$2:$A$500,0))="Возвращена",TODAY()-INT(INDEX(Брони!$E$2:$E$500,MATCH(A30,Брони!$A$2:$A$500,0))),""),""),""))</f>
        <v/>
      </c>
      <c r="O30" s="19">
        <f>IF(OR(N30="",Настройки!$B$8=""),"",IF(N30&gt;Настройки!$B$8,1,""))</f>
        <v/>
      </c>
    </row>
    <row r="31">
      <c r="A31" s="9" t="n"/>
      <c r="B31" s="12">
        <f>IF(A31="","",IFERROR(INDEX(Брони!$C$2:$C$500,MATCH(A31,Брони!$A$2:$A$500,0)),""))</f>
        <v/>
      </c>
      <c r="C31" s="12">
        <f>IF(A31="","",IFERROR(INDEX(Брони!$B$2:$B$500,MATCH(A31,Брони!$A$2:$A$500,0)),""))</f>
        <v/>
      </c>
      <c r="D31" s="14" t="n"/>
      <c r="E31" s="10" t="n"/>
      <c r="F31" s="18" t="n"/>
      <c r="G31" s="18" t="n"/>
      <c r="H31" s="14" t="n"/>
      <c r="I31" s="14" t="n"/>
      <c r="J31" s="10" t="n"/>
      <c r="K31" s="15">
        <f>IF(OR(A31="",D31=""),"",D31-H31-I31)</f>
        <v/>
      </c>
      <c r="L31" s="12">
        <f>IF(K31="","",IF(K31&gt;0,"На руках",IF(I31&gt;0,IF(H31&gt;0,"Удержан частично","Удержан"),"Возвращён")))</f>
        <v/>
      </c>
      <c r="M31" s="10" t="n"/>
      <c r="N31" s="19">
        <f>IF(K31="","",IF(K31&gt;0,IFERROR(IF(INDEX(Брони!$F$2:$F$500,MATCH(A31,Брони!$A$2:$A$500,0))="Возвращена",TODAY()-INT(INDEX(Брони!$E$2:$E$500,MATCH(A31,Брони!$A$2:$A$500,0))),""),""),""))</f>
        <v/>
      </c>
      <c r="O31" s="19">
        <f>IF(OR(N31="",Настройки!$B$8=""),"",IF(N31&gt;Настройки!$B$8,1,""))</f>
        <v/>
      </c>
    </row>
    <row r="32">
      <c r="A32" s="9" t="n"/>
      <c r="B32" s="12">
        <f>IF(A32="","",IFERROR(INDEX(Брони!$C$2:$C$500,MATCH(A32,Брони!$A$2:$A$500,0)),""))</f>
        <v/>
      </c>
      <c r="C32" s="12">
        <f>IF(A32="","",IFERROR(INDEX(Брони!$B$2:$B$500,MATCH(A32,Брони!$A$2:$A$500,0)),""))</f>
        <v/>
      </c>
      <c r="D32" s="14" t="n"/>
      <c r="E32" s="10" t="n"/>
      <c r="F32" s="18" t="n"/>
      <c r="G32" s="18" t="n"/>
      <c r="H32" s="14" t="n"/>
      <c r="I32" s="14" t="n"/>
      <c r="J32" s="10" t="n"/>
      <c r="K32" s="15">
        <f>IF(OR(A32="",D32=""),"",D32-H32-I32)</f>
        <v/>
      </c>
      <c r="L32" s="12">
        <f>IF(K32="","",IF(K32&gt;0,"На руках",IF(I32&gt;0,IF(H32&gt;0,"Удержан частично","Удержан"),"Возвращён")))</f>
        <v/>
      </c>
      <c r="M32" s="10" t="n"/>
      <c r="N32" s="19">
        <f>IF(K32="","",IF(K32&gt;0,IFERROR(IF(INDEX(Брони!$F$2:$F$500,MATCH(A32,Брони!$A$2:$A$500,0))="Возвращена",TODAY()-INT(INDEX(Брони!$E$2:$E$500,MATCH(A32,Брони!$A$2:$A$500,0))),""),""),""))</f>
        <v/>
      </c>
      <c r="O32" s="19">
        <f>IF(OR(N32="",Настройки!$B$8=""),"",IF(N32&gt;Настройки!$B$8,1,""))</f>
        <v/>
      </c>
    </row>
    <row r="33">
      <c r="A33" s="9" t="n"/>
      <c r="B33" s="12">
        <f>IF(A33="","",IFERROR(INDEX(Брони!$C$2:$C$500,MATCH(A33,Брони!$A$2:$A$500,0)),""))</f>
        <v/>
      </c>
      <c r="C33" s="12">
        <f>IF(A33="","",IFERROR(INDEX(Брони!$B$2:$B$500,MATCH(A33,Брони!$A$2:$A$500,0)),""))</f>
        <v/>
      </c>
      <c r="D33" s="14" t="n"/>
      <c r="E33" s="10" t="n"/>
      <c r="F33" s="18" t="n"/>
      <c r="G33" s="18" t="n"/>
      <c r="H33" s="14" t="n"/>
      <c r="I33" s="14" t="n"/>
      <c r="J33" s="10" t="n"/>
      <c r="K33" s="15">
        <f>IF(OR(A33="",D33=""),"",D33-H33-I33)</f>
        <v/>
      </c>
      <c r="L33" s="12">
        <f>IF(K33="","",IF(K33&gt;0,"На руках",IF(I33&gt;0,IF(H33&gt;0,"Удержан частично","Удержан"),"Возвращён")))</f>
        <v/>
      </c>
      <c r="M33" s="10" t="n"/>
      <c r="N33" s="19">
        <f>IF(K33="","",IF(K33&gt;0,IFERROR(IF(INDEX(Брони!$F$2:$F$500,MATCH(A33,Брони!$A$2:$A$500,0))="Возвращена",TODAY()-INT(INDEX(Брони!$E$2:$E$500,MATCH(A33,Брони!$A$2:$A$500,0))),""),""),""))</f>
        <v/>
      </c>
      <c r="O33" s="19">
        <f>IF(OR(N33="",Настройки!$B$8=""),"",IF(N33&gt;Настройки!$B$8,1,""))</f>
        <v/>
      </c>
    </row>
    <row r="34">
      <c r="A34" s="9" t="n"/>
      <c r="B34" s="12">
        <f>IF(A34="","",IFERROR(INDEX(Брони!$C$2:$C$500,MATCH(A34,Брони!$A$2:$A$500,0)),""))</f>
        <v/>
      </c>
      <c r="C34" s="12">
        <f>IF(A34="","",IFERROR(INDEX(Брони!$B$2:$B$500,MATCH(A34,Брони!$A$2:$A$500,0)),""))</f>
        <v/>
      </c>
      <c r="D34" s="14" t="n"/>
      <c r="E34" s="10" t="n"/>
      <c r="F34" s="18" t="n"/>
      <c r="G34" s="18" t="n"/>
      <c r="H34" s="14" t="n"/>
      <c r="I34" s="14" t="n"/>
      <c r="J34" s="10" t="n"/>
      <c r="K34" s="15">
        <f>IF(OR(A34="",D34=""),"",D34-H34-I34)</f>
        <v/>
      </c>
      <c r="L34" s="12">
        <f>IF(K34="","",IF(K34&gt;0,"На руках",IF(I34&gt;0,IF(H34&gt;0,"Удержан частично","Удержан"),"Возвращён")))</f>
        <v/>
      </c>
      <c r="M34" s="10" t="n"/>
      <c r="N34" s="19">
        <f>IF(K34="","",IF(K34&gt;0,IFERROR(IF(INDEX(Брони!$F$2:$F$500,MATCH(A34,Брони!$A$2:$A$500,0))="Возвращена",TODAY()-INT(INDEX(Брони!$E$2:$E$500,MATCH(A34,Брони!$A$2:$A$500,0))),""),""),""))</f>
        <v/>
      </c>
      <c r="O34" s="19">
        <f>IF(OR(N34="",Настройки!$B$8=""),"",IF(N34&gt;Настройки!$B$8,1,""))</f>
        <v/>
      </c>
    </row>
    <row r="35">
      <c r="A35" s="9" t="n"/>
      <c r="B35" s="12">
        <f>IF(A35="","",IFERROR(INDEX(Брони!$C$2:$C$500,MATCH(A35,Брони!$A$2:$A$500,0)),""))</f>
        <v/>
      </c>
      <c r="C35" s="12">
        <f>IF(A35="","",IFERROR(INDEX(Брони!$B$2:$B$500,MATCH(A35,Брони!$A$2:$A$500,0)),""))</f>
        <v/>
      </c>
      <c r="D35" s="14" t="n"/>
      <c r="E35" s="10" t="n"/>
      <c r="F35" s="18" t="n"/>
      <c r="G35" s="18" t="n"/>
      <c r="H35" s="14" t="n"/>
      <c r="I35" s="14" t="n"/>
      <c r="J35" s="10" t="n"/>
      <c r="K35" s="15">
        <f>IF(OR(A35="",D35=""),"",D35-H35-I35)</f>
        <v/>
      </c>
      <c r="L35" s="12">
        <f>IF(K35="","",IF(K35&gt;0,"На руках",IF(I35&gt;0,IF(H35&gt;0,"Удержан частично","Удержан"),"Возвращён")))</f>
        <v/>
      </c>
      <c r="M35" s="10" t="n"/>
      <c r="N35" s="19">
        <f>IF(K35="","",IF(K35&gt;0,IFERROR(IF(INDEX(Брони!$F$2:$F$500,MATCH(A35,Брони!$A$2:$A$500,0))="Возвращена",TODAY()-INT(INDEX(Брони!$E$2:$E$500,MATCH(A35,Брони!$A$2:$A$500,0))),""),""),""))</f>
        <v/>
      </c>
      <c r="O35" s="19">
        <f>IF(OR(N35="",Настройки!$B$8=""),"",IF(N35&gt;Настройки!$B$8,1,""))</f>
        <v/>
      </c>
    </row>
    <row r="36">
      <c r="A36" s="9" t="n"/>
      <c r="B36" s="12">
        <f>IF(A36="","",IFERROR(INDEX(Брони!$C$2:$C$500,MATCH(A36,Брони!$A$2:$A$500,0)),""))</f>
        <v/>
      </c>
      <c r="C36" s="12">
        <f>IF(A36="","",IFERROR(INDEX(Брони!$B$2:$B$500,MATCH(A36,Брони!$A$2:$A$500,0)),""))</f>
        <v/>
      </c>
      <c r="D36" s="14" t="n"/>
      <c r="E36" s="10" t="n"/>
      <c r="F36" s="18" t="n"/>
      <c r="G36" s="18" t="n"/>
      <c r="H36" s="14" t="n"/>
      <c r="I36" s="14" t="n"/>
      <c r="J36" s="10" t="n"/>
      <c r="K36" s="15">
        <f>IF(OR(A36="",D36=""),"",D36-H36-I36)</f>
        <v/>
      </c>
      <c r="L36" s="12">
        <f>IF(K36="","",IF(K36&gt;0,"На руках",IF(I36&gt;0,IF(H36&gt;0,"Удержан частично","Удержан"),"Возвращён")))</f>
        <v/>
      </c>
      <c r="M36" s="10" t="n"/>
      <c r="N36" s="19">
        <f>IF(K36="","",IF(K36&gt;0,IFERROR(IF(INDEX(Брони!$F$2:$F$500,MATCH(A36,Брони!$A$2:$A$500,0))="Возвращена",TODAY()-INT(INDEX(Брони!$E$2:$E$500,MATCH(A36,Брони!$A$2:$A$500,0))),""),""),""))</f>
        <v/>
      </c>
      <c r="O36" s="19">
        <f>IF(OR(N36="",Настройки!$B$8=""),"",IF(N36&gt;Настройки!$B$8,1,""))</f>
        <v/>
      </c>
    </row>
    <row r="37">
      <c r="A37" s="9" t="n"/>
      <c r="B37" s="12">
        <f>IF(A37="","",IFERROR(INDEX(Брони!$C$2:$C$500,MATCH(A37,Брони!$A$2:$A$500,0)),""))</f>
        <v/>
      </c>
      <c r="C37" s="12">
        <f>IF(A37="","",IFERROR(INDEX(Брони!$B$2:$B$500,MATCH(A37,Брони!$A$2:$A$500,0)),""))</f>
        <v/>
      </c>
      <c r="D37" s="14" t="n"/>
      <c r="E37" s="10" t="n"/>
      <c r="F37" s="18" t="n"/>
      <c r="G37" s="18" t="n"/>
      <c r="H37" s="14" t="n"/>
      <c r="I37" s="14" t="n"/>
      <c r="J37" s="10" t="n"/>
      <c r="K37" s="15">
        <f>IF(OR(A37="",D37=""),"",D37-H37-I37)</f>
        <v/>
      </c>
      <c r="L37" s="12">
        <f>IF(K37="","",IF(K37&gt;0,"На руках",IF(I37&gt;0,IF(H37&gt;0,"Удержан частично","Удержан"),"Возвращён")))</f>
        <v/>
      </c>
      <c r="M37" s="10" t="n"/>
      <c r="N37" s="19">
        <f>IF(K37="","",IF(K37&gt;0,IFERROR(IF(INDEX(Брони!$F$2:$F$500,MATCH(A37,Брони!$A$2:$A$500,0))="Возвращена",TODAY()-INT(INDEX(Брони!$E$2:$E$500,MATCH(A37,Брони!$A$2:$A$500,0))),""),""),""))</f>
        <v/>
      </c>
      <c r="O37" s="19">
        <f>IF(OR(N37="",Настройки!$B$8=""),"",IF(N37&gt;Настройки!$B$8,1,""))</f>
        <v/>
      </c>
    </row>
    <row r="38">
      <c r="A38" s="9" t="n"/>
      <c r="B38" s="12">
        <f>IF(A38="","",IFERROR(INDEX(Брони!$C$2:$C$500,MATCH(A38,Брони!$A$2:$A$500,0)),""))</f>
        <v/>
      </c>
      <c r="C38" s="12">
        <f>IF(A38="","",IFERROR(INDEX(Брони!$B$2:$B$500,MATCH(A38,Брони!$A$2:$A$500,0)),""))</f>
        <v/>
      </c>
      <c r="D38" s="14" t="n"/>
      <c r="E38" s="10" t="n"/>
      <c r="F38" s="18" t="n"/>
      <c r="G38" s="18" t="n"/>
      <c r="H38" s="14" t="n"/>
      <c r="I38" s="14" t="n"/>
      <c r="J38" s="10" t="n"/>
      <c r="K38" s="15">
        <f>IF(OR(A38="",D38=""),"",D38-H38-I38)</f>
        <v/>
      </c>
      <c r="L38" s="12">
        <f>IF(K38="","",IF(K38&gt;0,"На руках",IF(I38&gt;0,IF(H38&gt;0,"Удержан частично","Удержан"),"Возвращён")))</f>
        <v/>
      </c>
      <c r="M38" s="10" t="n"/>
      <c r="N38" s="19">
        <f>IF(K38="","",IF(K38&gt;0,IFERROR(IF(INDEX(Брони!$F$2:$F$500,MATCH(A38,Брони!$A$2:$A$500,0))="Возвращена",TODAY()-INT(INDEX(Брони!$E$2:$E$500,MATCH(A38,Брони!$A$2:$A$500,0))),""),""),""))</f>
        <v/>
      </c>
      <c r="O38" s="19">
        <f>IF(OR(N38="",Настройки!$B$8=""),"",IF(N38&gt;Настройки!$B$8,1,""))</f>
        <v/>
      </c>
    </row>
    <row r="39">
      <c r="A39" s="9" t="n"/>
      <c r="B39" s="12">
        <f>IF(A39="","",IFERROR(INDEX(Брони!$C$2:$C$500,MATCH(A39,Брони!$A$2:$A$500,0)),""))</f>
        <v/>
      </c>
      <c r="C39" s="12">
        <f>IF(A39="","",IFERROR(INDEX(Брони!$B$2:$B$500,MATCH(A39,Брони!$A$2:$A$500,0)),""))</f>
        <v/>
      </c>
      <c r="D39" s="14" t="n"/>
      <c r="E39" s="10" t="n"/>
      <c r="F39" s="18" t="n"/>
      <c r="G39" s="18" t="n"/>
      <c r="H39" s="14" t="n"/>
      <c r="I39" s="14" t="n"/>
      <c r="J39" s="10" t="n"/>
      <c r="K39" s="15">
        <f>IF(OR(A39="",D39=""),"",D39-H39-I39)</f>
        <v/>
      </c>
      <c r="L39" s="12">
        <f>IF(K39="","",IF(K39&gt;0,"На руках",IF(I39&gt;0,IF(H39&gt;0,"Удержан частично","Удержан"),"Возвращён")))</f>
        <v/>
      </c>
      <c r="M39" s="10" t="n"/>
      <c r="N39" s="19">
        <f>IF(K39="","",IF(K39&gt;0,IFERROR(IF(INDEX(Брони!$F$2:$F$500,MATCH(A39,Брони!$A$2:$A$500,0))="Возвращена",TODAY()-INT(INDEX(Брони!$E$2:$E$500,MATCH(A39,Брони!$A$2:$A$500,0))),""),""),""))</f>
        <v/>
      </c>
      <c r="O39" s="19">
        <f>IF(OR(N39="",Настройки!$B$8=""),"",IF(N39&gt;Настройки!$B$8,1,""))</f>
        <v/>
      </c>
    </row>
    <row r="40">
      <c r="A40" s="9" t="n"/>
      <c r="B40" s="12">
        <f>IF(A40="","",IFERROR(INDEX(Брони!$C$2:$C$500,MATCH(A40,Брони!$A$2:$A$500,0)),""))</f>
        <v/>
      </c>
      <c r="C40" s="12">
        <f>IF(A40="","",IFERROR(INDEX(Брони!$B$2:$B$500,MATCH(A40,Брони!$A$2:$A$500,0)),""))</f>
        <v/>
      </c>
      <c r="D40" s="14" t="n"/>
      <c r="E40" s="10" t="n"/>
      <c r="F40" s="18" t="n"/>
      <c r="G40" s="18" t="n"/>
      <c r="H40" s="14" t="n"/>
      <c r="I40" s="14" t="n"/>
      <c r="J40" s="10" t="n"/>
      <c r="K40" s="15">
        <f>IF(OR(A40="",D40=""),"",D40-H40-I40)</f>
        <v/>
      </c>
      <c r="L40" s="12">
        <f>IF(K40="","",IF(K40&gt;0,"На руках",IF(I40&gt;0,IF(H40&gt;0,"Удержан частично","Удержан"),"Возвращён")))</f>
        <v/>
      </c>
      <c r="M40" s="10" t="n"/>
      <c r="N40" s="19">
        <f>IF(K40="","",IF(K40&gt;0,IFERROR(IF(INDEX(Брони!$F$2:$F$500,MATCH(A40,Брони!$A$2:$A$500,0))="Возвращена",TODAY()-INT(INDEX(Брони!$E$2:$E$500,MATCH(A40,Брони!$A$2:$A$500,0))),""),""),""))</f>
        <v/>
      </c>
      <c r="O40" s="19">
        <f>IF(OR(N40="",Настройки!$B$8=""),"",IF(N40&gt;Настройки!$B$8,1,""))</f>
        <v/>
      </c>
    </row>
    <row r="41">
      <c r="A41" s="9" t="n"/>
      <c r="B41" s="12">
        <f>IF(A41="","",IFERROR(INDEX(Брони!$C$2:$C$500,MATCH(A41,Брони!$A$2:$A$500,0)),""))</f>
        <v/>
      </c>
      <c r="C41" s="12">
        <f>IF(A41="","",IFERROR(INDEX(Брони!$B$2:$B$500,MATCH(A41,Брони!$A$2:$A$500,0)),""))</f>
        <v/>
      </c>
      <c r="D41" s="14" t="n"/>
      <c r="E41" s="10" t="n"/>
      <c r="F41" s="18" t="n"/>
      <c r="G41" s="18" t="n"/>
      <c r="H41" s="14" t="n"/>
      <c r="I41" s="14" t="n"/>
      <c r="J41" s="10" t="n"/>
      <c r="K41" s="15">
        <f>IF(OR(A41="",D41=""),"",D41-H41-I41)</f>
        <v/>
      </c>
      <c r="L41" s="12">
        <f>IF(K41="","",IF(K41&gt;0,"На руках",IF(I41&gt;0,IF(H41&gt;0,"Удержан частично","Удержан"),"Возвращён")))</f>
        <v/>
      </c>
      <c r="M41" s="10" t="n"/>
      <c r="N41" s="19">
        <f>IF(K41="","",IF(K41&gt;0,IFERROR(IF(INDEX(Брони!$F$2:$F$500,MATCH(A41,Брони!$A$2:$A$500,0))="Возвращена",TODAY()-INT(INDEX(Брони!$E$2:$E$500,MATCH(A41,Брони!$A$2:$A$500,0))),""),""),""))</f>
        <v/>
      </c>
      <c r="O41" s="19">
        <f>IF(OR(N41="",Настройки!$B$8=""),"",IF(N41&gt;Настройки!$B$8,1,""))</f>
        <v/>
      </c>
    </row>
    <row r="42">
      <c r="A42" s="9" t="n"/>
      <c r="B42" s="12">
        <f>IF(A42="","",IFERROR(INDEX(Брони!$C$2:$C$500,MATCH(A42,Брони!$A$2:$A$500,0)),""))</f>
        <v/>
      </c>
      <c r="C42" s="12">
        <f>IF(A42="","",IFERROR(INDEX(Брони!$B$2:$B$500,MATCH(A42,Брони!$A$2:$A$500,0)),""))</f>
        <v/>
      </c>
      <c r="D42" s="14" t="n"/>
      <c r="E42" s="10" t="n"/>
      <c r="F42" s="18" t="n"/>
      <c r="G42" s="18" t="n"/>
      <c r="H42" s="14" t="n"/>
      <c r="I42" s="14" t="n"/>
      <c r="J42" s="10" t="n"/>
      <c r="K42" s="15">
        <f>IF(OR(A42="",D42=""),"",D42-H42-I42)</f>
        <v/>
      </c>
      <c r="L42" s="12">
        <f>IF(K42="","",IF(K42&gt;0,"На руках",IF(I42&gt;0,IF(H42&gt;0,"Удержан частично","Удержан"),"Возвращён")))</f>
        <v/>
      </c>
      <c r="M42" s="10" t="n"/>
      <c r="N42" s="19">
        <f>IF(K42="","",IF(K42&gt;0,IFERROR(IF(INDEX(Брони!$F$2:$F$500,MATCH(A42,Брони!$A$2:$A$500,0))="Возвращена",TODAY()-INT(INDEX(Брони!$E$2:$E$500,MATCH(A42,Брони!$A$2:$A$500,0))),""),""),""))</f>
        <v/>
      </c>
      <c r="O42" s="19">
        <f>IF(OR(N42="",Настройки!$B$8=""),"",IF(N42&gt;Настройки!$B$8,1,""))</f>
        <v/>
      </c>
    </row>
    <row r="43">
      <c r="A43" s="9" t="n"/>
      <c r="B43" s="12">
        <f>IF(A43="","",IFERROR(INDEX(Брони!$C$2:$C$500,MATCH(A43,Брони!$A$2:$A$500,0)),""))</f>
        <v/>
      </c>
      <c r="C43" s="12">
        <f>IF(A43="","",IFERROR(INDEX(Брони!$B$2:$B$500,MATCH(A43,Брони!$A$2:$A$500,0)),""))</f>
        <v/>
      </c>
      <c r="D43" s="14" t="n"/>
      <c r="E43" s="10" t="n"/>
      <c r="F43" s="18" t="n"/>
      <c r="G43" s="18" t="n"/>
      <c r="H43" s="14" t="n"/>
      <c r="I43" s="14" t="n"/>
      <c r="J43" s="10" t="n"/>
      <c r="K43" s="15">
        <f>IF(OR(A43="",D43=""),"",D43-H43-I43)</f>
        <v/>
      </c>
      <c r="L43" s="12">
        <f>IF(K43="","",IF(K43&gt;0,"На руках",IF(I43&gt;0,IF(H43&gt;0,"Удержан частично","Удержан"),"Возвращён")))</f>
        <v/>
      </c>
      <c r="M43" s="10" t="n"/>
      <c r="N43" s="19">
        <f>IF(K43="","",IF(K43&gt;0,IFERROR(IF(INDEX(Брони!$F$2:$F$500,MATCH(A43,Брони!$A$2:$A$500,0))="Возвращена",TODAY()-INT(INDEX(Брони!$E$2:$E$500,MATCH(A43,Брони!$A$2:$A$500,0))),""),""),""))</f>
        <v/>
      </c>
      <c r="O43" s="19">
        <f>IF(OR(N43="",Настройки!$B$8=""),"",IF(N43&gt;Настройки!$B$8,1,""))</f>
        <v/>
      </c>
    </row>
    <row r="44">
      <c r="A44" s="9" t="n"/>
      <c r="B44" s="12">
        <f>IF(A44="","",IFERROR(INDEX(Брони!$C$2:$C$500,MATCH(A44,Брони!$A$2:$A$500,0)),""))</f>
        <v/>
      </c>
      <c r="C44" s="12">
        <f>IF(A44="","",IFERROR(INDEX(Брони!$B$2:$B$500,MATCH(A44,Брони!$A$2:$A$500,0)),""))</f>
        <v/>
      </c>
      <c r="D44" s="14" t="n"/>
      <c r="E44" s="10" t="n"/>
      <c r="F44" s="18" t="n"/>
      <c r="G44" s="18" t="n"/>
      <c r="H44" s="14" t="n"/>
      <c r="I44" s="14" t="n"/>
      <c r="J44" s="10" t="n"/>
      <c r="K44" s="15">
        <f>IF(OR(A44="",D44=""),"",D44-H44-I44)</f>
        <v/>
      </c>
      <c r="L44" s="12">
        <f>IF(K44="","",IF(K44&gt;0,"На руках",IF(I44&gt;0,IF(H44&gt;0,"Удержан частично","Удержан"),"Возвращён")))</f>
        <v/>
      </c>
      <c r="M44" s="10" t="n"/>
      <c r="N44" s="19">
        <f>IF(K44="","",IF(K44&gt;0,IFERROR(IF(INDEX(Брони!$F$2:$F$500,MATCH(A44,Брони!$A$2:$A$500,0))="Возвращена",TODAY()-INT(INDEX(Брони!$E$2:$E$500,MATCH(A44,Брони!$A$2:$A$500,0))),""),""),""))</f>
        <v/>
      </c>
      <c r="O44" s="19">
        <f>IF(OR(N44="",Настройки!$B$8=""),"",IF(N44&gt;Настройки!$B$8,1,""))</f>
        <v/>
      </c>
    </row>
    <row r="45">
      <c r="A45" s="9" t="n"/>
      <c r="B45" s="12">
        <f>IF(A45="","",IFERROR(INDEX(Брони!$C$2:$C$500,MATCH(A45,Брони!$A$2:$A$500,0)),""))</f>
        <v/>
      </c>
      <c r="C45" s="12">
        <f>IF(A45="","",IFERROR(INDEX(Брони!$B$2:$B$500,MATCH(A45,Брони!$A$2:$A$500,0)),""))</f>
        <v/>
      </c>
      <c r="D45" s="14" t="n"/>
      <c r="E45" s="10" t="n"/>
      <c r="F45" s="18" t="n"/>
      <c r="G45" s="18" t="n"/>
      <c r="H45" s="14" t="n"/>
      <c r="I45" s="14" t="n"/>
      <c r="J45" s="10" t="n"/>
      <c r="K45" s="15">
        <f>IF(OR(A45="",D45=""),"",D45-H45-I45)</f>
        <v/>
      </c>
      <c r="L45" s="12">
        <f>IF(K45="","",IF(K45&gt;0,"На руках",IF(I45&gt;0,IF(H45&gt;0,"Удержан частично","Удержан"),"Возвращён")))</f>
        <v/>
      </c>
      <c r="M45" s="10" t="n"/>
      <c r="N45" s="19">
        <f>IF(K45="","",IF(K45&gt;0,IFERROR(IF(INDEX(Брони!$F$2:$F$500,MATCH(A45,Брони!$A$2:$A$500,0))="Возвращена",TODAY()-INT(INDEX(Брони!$E$2:$E$500,MATCH(A45,Брони!$A$2:$A$500,0))),""),""),""))</f>
        <v/>
      </c>
      <c r="O45" s="19">
        <f>IF(OR(N45="",Настройки!$B$8=""),"",IF(N45&gt;Настройки!$B$8,1,""))</f>
        <v/>
      </c>
    </row>
    <row r="46">
      <c r="A46" s="9" t="n"/>
      <c r="B46" s="12">
        <f>IF(A46="","",IFERROR(INDEX(Брони!$C$2:$C$500,MATCH(A46,Брони!$A$2:$A$500,0)),""))</f>
        <v/>
      </c>
      <c r="C46" s="12">
        <f>IF(A46="","",IFERROR(INDEX(Брони!$B$2:$B$500,MATCH(A46,Брони!$A$2:$A$500,0)),""))</f>
        <v/>
      </c>
      <c r="D46" s="14" t="n"/>
      <c r="E46" s="10" t="n"/>
      <c r="F46" s="18" t="n"/>
      <c r="G46" s="18" t="n"/>
      <c r="H46" s="14" t="n"/>
      <c r="I46" s="14" t="n"/>
      <c r="J46" s="10" t="n"/>
      <c r="K46" s="15">
        <f>IF(OR(A46="",D46=""),"",D46-H46-I46)</f>
        <v/>
      </c>
      <c r="L46" s="12">
        <f>IF(K46="","",IF(K46&gt;0,"На руках",IF(I46&gt;0,IF(H46&gt;0,"Удержан частично","Удержан"),"Возвращён")))</f>
        <v/>
      </c>
      <c r="M46" s="10" t="n"/>
      <c r="N46" s="19">
        <f>IF(K46="","",IF(K46&gt;0,IFERROR(IF(INDEX(Брони!$F$2:$F$500,MATCH(A46,Брони!$A$2:$A$500,0))="Возвращена",TODAY()-INT(INDEX(Брони!$E$2:$E$500,MATCH(A46,Брони!$A$2:$A$500,0))),""),""),""))</f>
        <v/>
      </c>
      <c r="O46" s="19">
        <f>IF(OR(N46="",Настройки!$B$8=""),"",IF(N46&gt;Настройки!$B$8,1,""))</f>
        <v/>
      </c>
    </row>
    <row r="47">
      <c r="A47" s="9" t="n"/>
      <c r="B47" s="12">
        <f>IF(A47="","",IFERROR(INDEX(Брони!$C$2:$C$500,MATCH(A47,Брони!$A$2:$A$500,0)),""))</f>
        <v/>
      </c>
      <c r="C47" s="12">
        <f>IF(A47="","",IFERROR(INDEX(Брони!$B$2:$B$500,MATCH(A47,Брони!$A$2:$A$500,0)),""))</f>
        <v/>
      </c>
      <c r="D47" s="14" t="n"/>
      <c r="E47" s="10" t="n"/>
      <c r="F47" s="18" t="n"/>
      <c r="G47" s="18" t="n"/>
      <c r="H47" s="14" t="n"/>
      <c r="I47" s="14" t="n"/>
      <c r="J47" s="10" t="n"/>
      <c r="K47" s="15">
        <f>IF(OR(A47="",D47=""),"",D47-H47-I47)</f>
        <v/>
      </c>
      <c r="L47" s="12">
        <f>IF(K47="","",IF(K47&gt;0,"На руках",IF(I47&gt;0,IF(H47&gt;0,"Удержан частично","Удержан"),"Возвращён")))</f>
        <v/>
      </c>
      <c r="M47" s="10" t="n"/>
      <c r="N47" s="19">
        <f>IF(K47="","",IF(K47&gt;0,IFERROR(IF(INDEX(Брони!$F$2:$F$500,MATCH(A47,Брони!$A$2:$A$500,0))="Возвращена",TODAY()-INT(INDEX(Брони!$E$2:$E$500,MATCH(A47,Брони!$A$2:$A$500,0))),""),""),""))</f>
        <v/>
      </c>
      <c r="O47" s="19">
        <f>IF(OR(N47="",Настройки!$B$8=""),"",IF(N47&gt;Настройки!$B$8,1,""))</f>
        <v/>
      </c>
    </row>
    <row r="48">
      <c r="A48" s="9" t="n"/>
      <c r="B48" s="12">
        <f>IF(A48="","",IFERROR(INDEX(Брони!$C$2:$C$500,MATCH(A48,Брони!$A$2:$A$500,0)),""))</f>
        <v/>
      </c>
      <c r="C48" s="12">
        <f>IF(A48="","",IFERROR(INDEX(Брони!$B$2:$B$500,MATCH(A48,Брони!$A$2:$A$500,0)),""))</f>
        <v/>
      </c>
      <c r="D48" s="14" t="n"/>
      <c r="E48" s="10" t="n"/>
      <c r="F48" s="18" t="n"/>
      <c r="G48" s="18" t="n"/>
      <c r="H48" s="14" t="n"/>
      <c r="I48" s="14" t="n"/>
      <c r="J48" s="10" t="n"/>
      <c r="K48" s="15">
        <f>IF(OR(A48="",D48=""),"",D48-H48-I48)</f>
        <v/>
      </c>
      <c r="L48" s="12">
        <f>IF(K48="","",IF(K48&gt;0,"На руках",IF(I48&gt;0,IF(H48&gt;0,"Удержан частично","Удержан"),"Возвращён")))</f>
        <v/>
      </c>
      <c r="M48" s="10" t="n"/>
      <c r="N48" s="19">
        <f>IF(K48="","",IF(K48&gt;0,IFERROR(IF(INDEX(Брони!$F$2:$F$500,MATCH(A48,Брони!$A$2:$A$500,0))="Возвращена",TODAY()-INT(INDEX(Брони!$E$2:$E$500,MATCH(A48,Брони!$A$2:$A$500,0))),""),""),""))</f>
        <v/>
      </c>
      <c r="O48" s="19">
        <f>IF(OR(N48="",Настройки!$B$8=""),"",IF(N48&gt;Настройки!$B$8,1,""))</f>
        <v/>
      </c>
    </row>
    <row r="49">
      <c r="A49" s="9" t="n"/>
      <c r="B49" s="12">
        <f>IF(A49="","",IFERROR(INDEX(Брони!$C$2:$C$500,MATCH(A49,Брони!$A$2:$A$500,0)),""))</f>
        <v/>
      </c>
      <c r="C49" s="12">
        <f>IF(A49="","",IFERROR(INDEX(Брони!$B$2:$B$500,MATCH(A49,Брони!$A$2:$A$500,0)),""))</f>
        <v/>
      </c>
      <c r="D49" s="14" t="n"/>
      <c r="E49" s="10" t="n"/>
      <c r="F49" s="18" t="n"/>
      <c r="G49" s="18" t="n"/>
      <c r="H49" s="14" t="n"/>
      <c r="I49" s="14" t="n"/>
      <c r="J49" s="10" t="n"/>
      <c r="K49" s="15">
        <f>IF(OR(A49="",D49=""),"",D49-H49-I49)</f>
        <v/>
      </c>
      <c r="L49" s="12">
        <f>IF(K49="","",IF(K49&gt;0,"На руках",IF(I49&gt;0,IF(H49&gt;0,"Удержан частично","Удержан"),"Возвращён")))</f>
        <v/>
      </c>
      <c r="M49" s="10" t="n"/>
      <c r="N49" s="19">
        <f>IF(K49="","",IF(K49&gt;0,IFERROR(IF(INDEX(Брони!$F$2:$F$500,MATCH(A49,Брони!$A$2:$A$500,0))="Возвращена",TODAY()-INT(INDEX(Брони!$E$2:$E$500,MATCH(A49,Брони!$A$2:$A$500,0))),""),""),""))</f>
        <v/>
      </c>
      <c r="O49" s="19">
        <f>IF(OR(N49="",Настройки!$B$8=""),"",IF(N49&gt;Настройки!$B$8,1,""))</f>
        <v/>
      </c>
    </row>
    <row r="50">
      <c r="A50" s="9" t="n"/>
      <c r="B50" s="12">
        <f>IF(A50="","",IFERROR(INDEX(Брони!$C$2:$C$500,MATCH(A50,Брони!$A$2:$A$500,0)),""))</f>
        <v/>
      </c>
      <c r="C50" s="12">
        <f>IF(A50="","",IFERROR(INDEX(Брони!$B$2:$B$500,MATCH(A50,Брони!$A$2:$A$500,0)),""))</f>
        <v/>
      </c>
      <c r="D50" s="14" t="n"/>
      <c r="E50" s="10" t="n"/>
      <c r="F50" s="18" t="n"/>
      <c r="G50" s="18" t="n"/>
      <c r="H50" s="14" t="n"/>
      <c r="I50" s="14" t="n"/>
      <c r="J50" s="10" t="n"/>
      <c r="K50" s="15">
        <f>IF(OR(A50="",D50=""),"",D50-H50-I50)</f>
        <v/>
      </c>
      <c r="L50" s="12">
        <f>IF(K50="","",IF(K50&gt;0,"На руках",IF(I50&gt;0,IF(H50&gt;0,"Удержан частично","Удержан"),"Возвращён")))</f>
        <v/>
      </c>
      <c r="M50" s="10" t="n"/>
      <c r="N50" s="19">
        <f>IF(K50="","",IF(K50&gt;0,IFERROR(IF(INDEX(Брони!$F$2:$F$500,MATCH(A50,Брони!$A$2:$A$500,0))="Возвращена",TODAY()-INT(INDEX(Брони!$E$2:$E$500,MATCH(A50,Брони!$A$2:$A$500,0))),""),""),""))</f>
        <v/>
      </c>
      <c r="O50" s="19">
        <f>IF(OR(N50="",Настройки!$B$8=""),"",IF(N50&gt;Настройки!$B$8,1,""))</f>
        <v/>
      </c>
    </row>
    <row r="51">
      <c r="A51" s="9" t="n"/>
      <c r="B51" s="12">
        <f>IF(A51="","",IFERROR(INDEX(Брони!$C$2:$C$500,MATCH(A51,Брони!$A$2:$A$500,0)),""))</f>
        <v/>
      </c>
      <c r="C51" s="12">
        <f>IF(A51="","",IFERROR(INDEX(Брони!$B$2:$B$500,MATCH(A51,Брони!$A$2:$A$500,0)),""))</f>
        <v/>
      </c>
      <c r="D51" s="14" t="n"/>
      <c r="E51" s="10" t="n"/>
      <c r="F51" s="18" t="n"/>
      <c r="G51" s="18" t="n"/>
      <c r="H51" s="14" t="n"/>
      <c r="I51" s="14" t="n"/>
      <c r="J51" s="10" t="n"/>
      <c r="K51" s="15">
        <f>IF(OR(A51="",D51=""),"",D51-H51-I51)</f>
        <v/>
      </c>
      <c r="L51" s="12">
        <f>IF(K51="","",IF(K51&gt;0,"На руках",IF(I51&gt;0,IF(H51&gt;0,"Удержан частично","Удержан"),"Возвращён")))</f>
        <v/>
      </c>
      <c r="M51" s="10" t="n"/>
      <c r="N51" s="19">
        <f>IF(K51="","",IF(K51&gt;0,IFERROR(IF(INDEX(Брони!$F$2:$F$500,MATCH(A51,Брони!$A$2:$A$500,0))="Возвращена",TODAY()-INT(INDEX(Брони!$E$2:$E$500,MATCH(A51,Брони!$A$2:$A$500,0))),""),""),""))</f>
        <v/>
      </c>
      <c r="O51" s="19">
        <f>IF(OR(N51="",Настройки!$B$8=""),"",IF(N51&gt;Настройки!$B$8,1,""))</f>
        <v/>
      </c>
    </row>
    <row r="52">
      <c r="A52" s="9" t="n"/>
      <c r="B52" s="12">
        <f>IF(A52="","",IFERROR(INDEX(Брони!$C$2:$C$500,MATCH(A52,Брони!$A$2:$A$500,0)),""))</f>
        <v/>
      </c>
      <c r="C52" s="12">
        <f>IF(A52="","",IFERROR(INDEX(Брони!$B$2:$B$500,MATCH(A52,Брони!$A$2:$A$500,0)),""))</f>
        <v/>
      </c>
      <c r="D52" s="14" t="n"/>
      <c r="E52" s="10" t="n"/>
      <c r="F52" s="18" t="n"/>
      <c r="G52" s="18" t="n"/>
      <c r="H52" s="14" t="n"/>
      <c r="I52" s="14" t="n"/>
      <c r="J52" s="10" t="n"/>
      <c r="K52" s="15">
        <f>IF(OR(A52="",D52=""),"",D52-H52-I52)</f>
        <v/>
      </c>
      <c r="L52" s="12">
        <f>IF(K52="","",IF(K52&gt;0,"На руках",IF(I52&gt;0,IF(H52&gt;0,"Удержан частично","Удержан"),"Возвращён")))</f>
        <v/>
      </c>
      <c r="M52" s="10" t="n"/>
      <c r="N52" s="19">
        <f>IF(K52="","",IF(K52&gt;0,IFERROR(IF(INDEX(Брони!$F$2:$F$500,MATCH(A52,Брони!$A$2:$A$500,0))="Возвращена",TODAY()-INT(INDEX(Брони!$E$2:$E$500,MATCH(A52,Брони!$A$2:$A$500,0))),""),""),""))</f>
        <v/>
      </c>
      <c r="O52" s="19">
        <f>IF(OR(N52="",Настройки!$B$8=""),"",IF(N52&gt;Настройки!$B$8,1,""))</f>
        <v/>
      </c>
    </row>
    <row r="53">
      <c r="A53" s="9" t="n"/>
      <c r="B53" s="12">
        <f>IF(A53="","",IFERROR(INDEX(Брони!$C$2:$C$500,MATCH(A53,Брони!$A$2:$A$500,0)),""))</f>
        <v/>
      </c>
      <c r="C53" s="12">
        <f>IF(A53="","",IFERROR(INDEX(Брони!$B$2:$B$500,MATCH(A53,Брони!$A$2:$A$500,0)),""))</f>
        <v/>
      </c>
      <c r="D53" s="14" t="n"/>
      <c r="E53" s="10" t="n"/>
      <c r="F53" s="18" t="n"/>
      <c r="G53" s="18" t="n"/>
      <c r="H53" s="14" t="n"/>
      <c r="I53" s="14" t="n"/>
      <c r="J53" s="10" t="n"/>
      <c r="K53" s="15">
        <f>IF(OR(A53="",D53=""),"",D53-H53-I53)</f>
        <v/>
      </c>
      <c r="L53" s="12">
        <f>IF(K53="","",IF(K53&gt;0,"На руках",IF(I53&gt;0,IF(H53&gt;0,"Удержан частично","Удержан"),"Возвращён")))</f>
        <v/>
      </c>
      <c r="M53" s="10" t="n"/>
      <c r="N53" s="19">
        <f>IF(K53="","",IF(K53&gt;0,IFERROR(IF(INDEX(Брони!$F$2:$F$500,MATCH(A53,Брони!$A$2:$A$500,0))="Возвращена",TODAY()-INT(INDEX(Брони!$E$2:$E$500,MATCH(A53,Брони!$A$2:$A$500,0))),""),""),""))</f>
        <v/>
      </c>
      <c r="O53" s="19">
        <f>IF(OR(N53="",Настройки!$B$8=""),"",IF(N53&gt;Настройки!$B$8,1,""))</f>
        <v/>
      </c>
    </row>
    <row r="54">
      <c r="A54" s="9" t="n"/>
      <c r="B54" s="12">
        <f>IF(A54="","",IFERROR(INDEX(Брони!$C$2:$C$500,MATCH(A54,Брони!$A$2:$A$500,0)),""))</f>
        <v/>
      </c>
      <c r="C54" s="12">
        <f>IF(A54="","",IFERROR(INDEX(Брони!$B$2:$B$500,MATCH(A54,Брони!$A$2:$A$500,0)),""))</f>
        <v/>
      </c>
      <c r="D54" s="14" t="n"/>
      <c r="E54" s="10" t="n"/>
      <c r="F54" s="18" t="n"/>
      <c r="G54" s="18" t="n"/>
      <c r="H54" s="14" t="n"/>
      <c r="I54" s="14" t="n"/>
      <c r="J54" s="10" t="n"/>
      <c r="K54" s="15">
        <f>IF(OR(A54="",D54=""),"",D54-H54-I54)</f>
        <v/>
      </c>
      <c r="L54" s="12">
        <f>IF(K54="","",IF(K54&gt;0,"На руках",IF(I54&gt;0,IF(H54&gt;0,"Удержан частично","Удержан"),"Возвращён")))</f>
        <v/>
      </c>
      <c r="M54" s="10" t="n"/>
      <c r="N54" s="19">
        <f>IF(K54="","",IF(K54&gt;0,IFERROR(IF(INDEX(Брони!$F$2:$F$500,MATCH(A54,Брони!$A$2:$A$500,0))="Возвращена",TODAY()-INT(INDEX(Брони!$E$2:$E$500,MATCH(A54,Брони!$A$2:$A$500,0))),""),""),""))</f>
        <v/>
      </c>
      <c r="O54" s="19">
        <f>IF(OR(N54="",Настройки!$B$8=""),"",IF(N54&gt;Настройки!$B$8,1,""))</f>
        <v/>
      </c>
    </row>
    <row r="55">
      <c r="A55" s="9" t="n"/>
      <c r="B55" s="12">
        <f>IF(A55="","",IFERROR(INDEX(Брони!$C$2:$C$500,MATCH(A55,Брони!$A$2:$A$500,0)),""))</f>
        <v/>
      </c>
      <c r="C55" s="12">
        <f>IF(A55="","",IFERROR(INDEX(Брони!$B$2:$B$500,MATCH(A55,Брони!$A$2:$A$500,0)),""))</f>
        <v/>
      </c>
      <c r="D55" s="14" t="n"/>
      <c r="E55" s="10" t="n"/>
      <c r="F55" s="18" t="n"/>
      <c r="G55" s="18" t="n"/>
      <c r="H55" s="14" t="n"/>
      <c r="I55" s="14" t="n"/>
      <c r="J55" s="10" t="n"/>
      <c r="K55" s="15">
        <f>IF(OR(A55="",D55=""),"",D55-H55-I55)</f>
        <v/>
      </c>
      <c r="L55" s="12">
        <f>IF(K55="","",IF(K55&gt;0,"На руках",IF(I55&gt;0,IF(H55&gt;0,"Удержан частично","Удержан"),"Возвращён")))</f>
        <v/>
      </c>
      <c r="M55" s="10" t="n"/>
      <c r="N55" s="19">
        <f>IF(K55="","",IF(K55&gt;0,IFERROR(IF(INDEX(Брони!$F$2:$F$500,MATCH(A55,Брони!$A$2:$A$500,0))="Возвращена",TODAY()-INT(INDEX(Брони!$E$2:$E$500,MATCH(A55,Брони!$A$2:$A$500,0))),""),""),""))</f>
        <v/>
      </c>
      <c r="O55" s="19">
        <f>IF(OR(N55="",Настройки!$B$8=""),"",IF(N55&gt;Настройки!$B$8,1,""))</f>
        <v/>
      </c>
    </row>
    <row r="56">
      <c r="A56" s="9" t="n"/>
      <c r="B56" s="12">
        <f>IF(A56="","",IFERROR(INDEX(Брони!$C$2:$C$500,MATCH(A56,Брони!$A$2:$A$500,0)),""))</f>
        <v/>
      </c>
      <c r="C56" s="12">
        <f>IF(A56="","",IFERROR(INDEX(Брони!$B$2:$B$500,MATCH(A56,Брони!$A$2:$A$500,0)),""))</f>
        <v/>
      </c>
      <c r="D56" s="14" t="n"/>
      <c r="E56" s="10" t="n"/>
      <c r="F56" s="18" t="n"/>
      <c r="G56" s="18" t="n"/>
      <c r="H56" s="14" t="n"/>
      <c r="I56" s="14" t="n"/>
      <c r="J56" s="10" t="n"/>
      <c r="K56" s="15">
        <f>IF(OR(A56="",D56=""),"",D56-H56-I56)</f>
        <v/>
      </c>
      <c r="L56" s="12">
        <f>IF(K56="","",IF(K56&gt;0,"На руках",IF(I56&gt;0,IF(H56&gt;0,"Удержан частично","Удержан"),"Возвращён")))</f>
        <v/>
      </c>
      <c r="M56" s="10" t="n"/>
      <c r="N56" s="19">
        <f>IF(K56="","",IF(K56&gt;0,IFERROR(IF(INDEX(Брони!$F$2:$F$500,MATCH(A56,Брони!$A$2:$A$500,0))="Возвращена",TODAY()-INT(INDEX(Брони!$E$2:$E$500,MATCH(A56,Брони!$A$2:$A$500,0))),""),""),""))</f>
        <v/>
      </c>
      <c r="O56" s="19">
        <f>IF(OR(N56="",Настройки!$B$8=""),"",IF(N56&gt;Настройки!$B$8,1,""))</f>
        <v/>
      </c>
    </row>
    <row r="57">
      <c r="A57" s="9" t="n"/>
      <c r="B57" s="12">
        <f>IF(A57="","",IFERROR(INDEX(Брони!$C$2:$C$500,MATCH(A57,Брони!$A$2:$A$500,0)),""))</f>
        <v/>
      </c>
      <c r="C57" s="12">
        <f>IF(A57="","",IFERROR(INDEX(Брони!$B$2:$B$500,MATCH(A57,Брони!$A$2:$A$500,0)),""))</f>
        <v/>
      </c>
      <c r="D57" s="14" t="n"/>
      <c r="E57" s="10" t="n"/>
      <c r="F57" s="18" t="n"/>
      <c r="G57" s="18" t="n"/>
      <c r="H57" s="14" t="n"/>
      <c r="I57" s="14" t="n"/>
      <c r="J57" s="10" t="n"/>
      <c r="K57" s="15">
        <f>IF(OR(A57="",D57=""),"",D57-H57-I57)</f>
        <v/>
      </c>
      <c r="L57" s="12">
        <f>IF(K57="","",IF(K57&gt;0,"На руках",IF(I57&gt;0,IF(H57&gt;0,"Удержан частично","Удержан"),"Возвращён")))</f>
        <v/>
      </c>
      <c r="M57" s="10" t="n"/>
      <c r="N57" s="19">
        <f>IF(K57="","",IF(K57&gt;0,IFERROR(IF(INDEX(Брони!$F$2:$F$500,MATCH(A57,Брони!$A$2:$A$500,0))="Возвращена",TODAY()-INT(INDEX(Брони!$E$2:$E$500,MATCH(A57,Брони!$A$2:$A$500,0))),""),""),""))</f>
        <v/>
      </c>
      <c r="O57" s="19">
        <f>IF(OR(N57="",Настройки!$B$8=""),"",IF(N57&gt;Настройки!$B$8,1,""))</f>
        <v/>
      </c>
    </row>
    <row r="58">
      <c r="A58" s="9" t="n"/>
      <c r="B58" s="12">
        <f>IF(A58="","",IFERROR(INDEX(Брони!$C$2:$C$500,MATCH(A58,Брони!$A$2:$A$500,0)),""))</f>
        <v/>
      </c>
      <c r="C58" s="12">
        <f>IF(A58="","",IFERROR(INDEX(Брони!$B$2:$B$500,MATCH(A58,Брони!$A$2:$A$500,0)),""))</f>
        <v/>
      </c>
      <c r="D58" s="14" t="n"/>
      <c r="E58" s="10" t="n"/>
      <c r="F58" s="18" t="n"/>
      <c r="G58" s="18" t="n"/>
      <c r="H58" s="14" t="n"/>
      <c r="I58" s="14" t="n"/>
      <c r="J58" s="10" t="n"/>
      <c r="K58" s="15">
        <f>IF(OR(A58="",D58=""),"",D58-H58-I58)</f>
        <v/>
      </c>
      <c r="L58" s="12">
        <f>IF(K58="","",IF(K58&gt;0,"На руках",IF(I58&gt;0,IF(H58&gt;0,"Удержан частично","Удержан"),"Возвращён")))</f>
        <v/>
      </c>
      <c r="M58" s="10" t="n"/>
      <c r="N58" s="19">
        <f>IF(K58="","",IF(K58&gt;0,IFERROR(IF(INDEX(Брони!$F$2:$F$500,MATCH(A58,Брони!$A$2:$A$500,0))="Возвращена",TODAY()-INT(INDEX(Брони!$E$2:$E$500,MATCH(A58,Брони!$A$2:$A$500,0))),""),""),""))</f>
        <v/>
      </c>
      <c r="O58" s="19">
        <f>IF(OR(N58="",Настройки!$B$8=""),"",IF(N58&gt;Настройки!$B$8,1,""))</f>
        <v/>
      </c>
    </row>
    <row r="59">
      <c r="A59" s="9" t="n"/>
      <c r="B59" s="12">
        <f>IF(A59="","",IFERROR(INDEX(Брони!$C$2:$C$500,MATCH(A59,Брони!$A$2:$A$500,0)),""))</f>
        <v/>
      </c>
      <c r="C59" s="12">
        <f>IF(A59="","",IFERROR(INDEX(Брони!$B$2:$B$500,MATCH(A59,Брони!$A$2:$A$500,0)),""))</f>
        <v/>
      </c>
      <c r="D59" s="14" t="n"/>
      <c r="E59" s="10" t="n"/>
      <c r="F59" s="18" t="n"/>
      <c r="G59" s="18" t="n"/>
      <c r="H59" s="14" t="n"/>
      <c r="I59" s="14" t="n"/>
      <c r="J59" s="10" t="n"/>
      <c r="K59" s="15">
        <f>IF(OR(A59="",D59=""),"",D59-H59-I59)</f>
        <v/>
      </c>
      <c r="L59" s="12">
        <f>IF(K59="","",IF(K59&gt;0,"На руках",IF(I59&gt;0,IF(H59&gt;0,"Удержан частично","Удержан"),"Возвращён")))</f>
        <v/>
      </c>
      <c r="M59" s="10" t="n"/>
      <c r="N59" s="19">
        <f>IF(K59="","",IF(K59&gt;0,IFERROR(IF(INDEX(Брони!$F$2:$F$500,MATCH(A59,Брони!$A$2:$A$500,0))="Возвращена",TODAY()-INT(INDEX(Брони!$E$2:$E$500,MATCH(A59,Брони!$A$2:$A$500,0))),""),""),""))</f>
        <v/>
      </c>
      <c r="O59" s="19">
        <f>IF(OR(N59="",Настройки!$B$8=""),"",IF(N59&gt;Настройки!$B$8,1,""))</f>
        <v/>
      </c>
    </row>
    <row r="60">
      <c r="A60" s="9" t="n"/>
      <c r="B60" s="12">
        <f>IF(A60="","",IFERROR(INDEX(Брони!$C$2:$C$500,MATCH(A60,Брони!$A$2:$A$500,0)),""))</f>
        <v/>
      </c>
      <c r="C60" s="12">
        <f>IF(A60="","",IFERROR(INDEX(Брони!$B$2:$B$500,MATCH(A60,Брони!$A$2:$A$500,0)),""))</f>
        <v/>
      </c>
      <c r="D60" s="14" t="n"/>
      <c r="E60" s="10" t="n"/>
      <c r="F60" s="18" t="n"/>
      <c r="G60" s="18" t="n"/>
      <c r="H60" s="14" t="n"/>
      <c r="I60" s="14" t="n"/>
      <c r="J60" s="10" t="n"/>
      <c r="K60" s="15">
        <f>IF(OR(A60="",D60=""),"",D60-H60-I60)</f>
        <v/>
      </c>
      <c r="L60" s="12">
        <f>IF(K60="","",IF(K60&gt;0,"На руках",IF(I60&gt;0,IF(H60&gt;0,"Удержан частично","Удержан"),"Возвращён")))</f>
        <v/>
      </c>
      <c r="M60" s="10" t="n"/>
      <c r="N60" s="19">
        <f>IF(K60="","",IF(K60&gt;0,IFERROR(IF(INDEX(Брони!$F$2:$F$500,MATCH(A60,Брони!$A$2:$A$500,0))="Возвращена",TODAY()-INT(INDEX(Брони!$E$2:$E$500,MATCH(A60,Брони!$A$2:$A$500,0))),""),""),""))</f>
        <v/>
      </c>
      <c r="O60" s="19">
        <f>IF(OR(N60="",Настройки!$B$8=""),"",IF(N60&gt;Настройки!$B$8,1,""))</f>
        <v/>
      </c>
    </row>
    <row r="61">
      <c r="A61" s="9" t="n"/>
      <c r="B61" s="12">
        <f>IF(A61="","",IFERROR(INDEX(Брони!$C$2:$C$500,MATCH(A61,Брони!$A$2:$A$500,0)),""))</f>
        <v/>
      </c>
      <c r="C61" s="12">
        <f>IF(A61="","",IFERROR(INDEX(Брони!$B$2:$B$500,MATCH(A61,Брони!$A$2:$A$500,0)),""))</f>
        <v/>
      </c>
      <c r="D61" s="14" t="n"/>
      <c r="E61" s="10" t="n"/>
      <c r="F61" s="18" t="n"/>
      <c r="G61" s="18" t="n"/>
      <c r="H61" s="14" t="n"/>
      <c r="I61" s="14" t="n"/>
      <c r="J61" s="10" t="n"/>
      <c r="K61" s="15">
        <f>IF(OR(A61="",D61=""),"",D61-H61-I61)</f>
        <v/>
      </c>
      <c r="L61" s="12">
        <f>IF(K61="","",IF(K61&gt;0,"На руках",IF(I61&gt;0,IF(H61&gt;0,"Удержан частично","Удержан"),"Возвращён")))</f>
        <v/>
      </c>
      <c r="M61" s="10" t="n"/>
      <c r="N61" s="19">
        <f>IF(K61="","",IF(K61&gt;0,IFERROR(IF(INDEX(Брони!$F$2:$F$500,MATCH(A61,Брони!$A$2:$A$500,0))="Возвращена",TODAY()-INT(INDEX(Брони!$E$2:$E$500,MATCH(A61,Брони!$A$2:$A$500,0))),""),""),""))</f>
        <v/>
      </c>
      <c r="O61" s="19">
        <f>IF(OR(N61="",Настройки!$B$8=""),"",IF(N61&gt;Настройки!$B$8,1,""))</f>
        <v/>
      </c>
    </row>
    <row r="62">
      <c r="A62" s="9" t="n"/>
      <c r="B62" s="12">
        <f>IF(A62="","",IFERROR(INDEX(Брони!$C$2:$C$500,MATCH(A62,Брони!$A$2:$A$500,0)),""))</f>
        <v/>
      </c>
      <c r="C62" s="12">
        <f>IF(A62="","",IFERROR(INDEX(Брони!$B$2:$B$500,MATCH(A62,Брони!$A$2:$A$500,0)),""))</f>
        <v/>
      </c>
      <c r="D62" s="14" t="n"/>
      <c r="E62" s="10" t="n"/>
      <c r="F62" s="18" t="n"/>
      <c r="G62" s="18" t="n"/>
      <c r="H62" s="14" t="n"/>
      <c r="I62" s="14" t="n"/>
      <c r="J62" s="10" t="n"/>
      <c r="K62" s="15">
        <f>IF(OR(A62="",D62=""),"",D62-H62-I62)</f>
        <v/>
      </c>
      <c r="L62" s="12">
        <f>IF(K62="","",IF(K62&gt;0,"На руках",IF(I62&gt;0,IF(H62&gt;0,"Удержан частично","Удержан"),"Возвращён")))</f>
        <v/>
      </c>
      <c r="M62" s="10" t="n"/>
      <c r="N62" s="19">
        <f>IF(K62="","",IF(K62&gt;0,IFERROR(IF(INDEX(Брони!$F$2:$F$500,MATCH(A62,Брони!$A$2:$A$500,0))="Возвращена",TODAY()-INT(INDEX(Брони!$E$2:$E$500,MATCH(A62,Брони!$A$2:$A$500,0))),""),""),""))</f>
        <v/>
      </c>
      <c r="O62" s="19">
        <f>IF(OR(N62="",Настройки!$B$8=""),"",IF(N62&gt;Настройки!$B$8,1,""))</f>
        <v/>
      </c>
    </row>
    <row r="63">
      <c r="A63" s="9" t="n"/>
      <c r="B63" s="12">
        <f>IF(A63="","",IFERROR(INDEX(Брони!$C$2:$C$500,MATCH(A63,Брони!$A$2:$A$500,0)),""))</f>
        <v/>
      </c>
      <c r="C63" s="12">
        <f>IF(A63="","",IFERROR(INDEX(Брони!$B$2:$B$500,MATCH(A63,Брони!$A$2:$A$500,0)),""))</f>
        <v/>
      </c>
      <c r="D63" s="14" t="n"/>
      <c r="E63" s="10" t="n"/>
      <c r="F63" s="18" t="n"/>
      <c r="G63" s="18" t="n"/>
      <c r="H63" s="14" t="n"/>
      <c r="I63" s="14" t="n"/>
      <c r="J63" s="10" t="n"/>
      <c r="K63" s="15">
        <f>IF(OR(A63="",D63=""),"",D63-H63-I63)</f>
        <v/>
      </c>
      <c r="L63" s="12">
        <f>IF(K63="","",IF(K63&gt;0,"На руках",IF(I63&gt;0,IF(H63&gt;0,"Удержан частично","Удержан"),"Возвращён")))</f>
        <v/>
      </c>
      <c r="M63" s="10" t="n"/>
      <c r="N63" s="19">
        <f>IF(K63="","",IF(K63&gt;0,IFERROR(IF(INDEX(Брони!$F$2:$F$500,MATCH(A63,Брони!$A$2:$A$500,0))="Возвращена",TODAY()-INT(INDEX(Брони!$E$2:$E$500,MATCH(A63,Брони!$A$2:$A$500,0))),""),""),""))</f>
        <v/>
      </c>
      <c r="O63" s="19">
        <f>IF(OR(N63="",Настройки!$B$8=""),"",IF(N63&gt;Настройки!$B$8,1,""))</f>
        <v/>
      </c>
    </row>
    <row r="64">
      <c r="A64" s="9" t="n"/>
      <c r="B64" s="12">
        <f>IF(A64="","",IFERROR(INDEX(Брони!$C$2:$C$500,MATCH(A64,Брони!$A$2:$A$500,0)),""))</f>
        <v/>
      </c>
      <c r="C64" s="12">
        <f>IF(A64="","",IFERROR(INDEX(Брони!$B$2:$B$500,MATCH(A64,Брони!$A$2:$A$500,0)),""))</f>
        <v/>
      </c>
      <c r="D64" s="14" t="n"/>
      <c r="E64" s="10" t="n"/>
      <c r="F64" s="18" t="n"/>
      <c r="G64" s="18" t="n"/>
      <c r="H64" s="14" t="n"/>
      <c r="I64" s="14" t="n"/>
      <c r="J64" s="10" t="n"/>
      <c r="K64" s="15">
        <f>IF(OR(A64="",D64=""),"",D64-H64-I64)</f>
        <v/>
      </c>
      <c r="L64" s="12">
        <f>IF(K64="","",IF(K64&gt;0,"На руках",IF(I64&gt;0,IF(H64&gt;0,"Удержан частично","Удержан"),"Возвращён")))</f>
        <v/>
      </c>
      <c r="M64" s="10" t="n"/>
      <c r="N64" s="19">
        <f>IF(K64="","",IF(K64&gt;0,IFERROR(IF(INDEX(Брони!$F$2:$F$500,MATCH(A64,Брони!$A$2:$A$500,0))="Возвращена",TODAY()-INT(INDEX(Брони!$E$2:$E$500,MATCH(A64,Брони!$A$2:$A$500,0))),""),""),""))</f>
        <v/>
      </c>
      <c r="O64" s="19">
        <f>IF(OR(N64="",Настройки!$B$8=""),"",IF(N64&gt;Настройки!$B$8,1,""))</f>
        <v/>
      </c>
    </row>
    <row r="65">
      <c r="A65" s="9" t="n"/>
      <c r="B65" s="12">
        <f>IF(A65="","",IFERROR(INDEX(Брони!$C$2:$C$500,MATCH(A65,Брони!$A$2:$A$500,0)),""))</f>
        <v/>
      </c>
      <c r="C65" s="12">
        <f>IF(A65="","",IFERROR(INDEX(Брони!$B$2:$B$500,MATCH(A65,Брони!$A$2:$A$500,0)),""))</f>
        <v/>
      </c>
      <c r="D65" s="14" t="n"/>
      <c r="E65" s="10" t="n"/>
      <c r="F65" s="18" t="n"/>
      <c r="G65" s="18" t="n"/>
      <c r="H65" s="14" t="n"/>
      <c r="I65" s="14" t="n"/>
      <c r="J65" s="10" t="n"/>
      <c r="K65" s="15">
        <f>IF(OR(A65="",D65=""),"",D65-H65-I65)</f>
        <v/>
      </c>
      <c r="L65" s="12">
        <f>IF(K65="","",IF(K65&gt;0,"На руках",IF(I65&gt;0,IF(H65&gt;0,"Удержан частично","Удержан"),"Возвращён")))</f>
        <v/>
      </c>
      <c r="M65" s="10" t="n"/>
      <c r="N65" s="19">
        <f>IF(K65="","",IF(K65&gt;0,IFERROR(IF(INDEX(Брони!$F$2:$F$500,MATCH(A65,Брони!$A$2:$A$500,0))="Возвращена",TODAY()-INT(INDEX(Брони!$E$2:$E$500,MATCH(A65,Брони!$A$2:$A$500,0))),""),""),""))</f>
        <v/>
      </c>
      <c r="O65" s="19">
        <f>IF(OR(N65="",Настройки!$B$8=""),"",IF(N65&gt;Настройки!$B$8,1,""))</f>
        <v/>
      </c>
    </row>
    <row r="66">
      <c r="A66" s="9" t="n"/>
      <c r="B66" s="12">
        <f>IF(A66="","",IFERROR(INDEX(Брони!$C$2:$C$500,MATCH(A66,Брони!$A$2:$A$500,0)),""))</f>
        <v/>
      </c>
      <c r="C66" s="12">
        <f>IF(A66="","",IFERROR(INDEX(Брони!$B$2:$B$500,MATCH(A66,Брони!$A$2:$A$500,0)),""))</f>
        <v/>
      </c>
      <c r="D66" s="14" t="n"/>
      <c r="E66" s="10" t="n"/>
      <c r="F66" s="18" t="n"/>
      <c r="G66" s="18" t="n"/>
      <c r="H66" s="14" t="n"/>
      <c r="I66" s="14" t="n"/>
      <c r="J66" s="10" t="n"/>
      <c r="K66" s="15">
        <f>IF(OR(A66="",D66=""),"",D66-H66-I66)</f>
        <v/>
      </c>
      <c r="L66" s="12">
        <f>IF(K66="","",IF(K66&gt;0,"На руках",IF(I66&gt;0,IF(H66&gt;0,"Удержан частично","Удержан"),"Возвращён")))</f>
        <v/>
      </c>
      <c r="M66" s="10" t="n"/>
      <c r="N66" s="19">
        <f>IF(K66="","",IF(K66&gt;0,IFERROR(IF(INDEX(Брони!$F$2:$F$500,MATCH(A66,Брони!$A$2:$A$500,0))="Возвращена",TODAY()-INT(INDEX(Брони!$E$2:$E$500,MATCH(A66,Брони!$A$2:$A$500,0))),""),""),""))</f>
        <v/>
      </c>
      <c r="O66" s="19">
        <f>IF(OR(N66="",Настройки!$B$8=""),"",IF(N66&gt;Настройки!$B$8,1,""))</f>
        <v/>
      </c>
    </row>
    <row r="67">
      <c r="A67" s="9" t="n"/>
      <c r="B67" s="12">
        <f>IF(A67="","",IFERROR(INDEX(Брони!$C$2:$C$500,MATCH(A67,Брони!$A$2:$A$500,0)),""))</f>
        <v/>
      </c>
      <c r="C67" s="12">
        <f>IF(A67="","",IFERROR(INDEX(Брони!$B$2:$B$500,MATCH(A67,Брони!$A$2:$A$500,0)),""))</f>
        <v/>
      </c>
      <c r="D67" s="14" t="n"/>
      <c r="E67" s="10" t="n"/>
      <c r="F67" s="18" t="n"/>
      <c r="G67" s="18" t="n"/>
      <c r="H67" s="14" t="n"/>
      <c r="I67" s="14" t="n"/>
      <c r="J67" s="10" t="n"/>
      <c r="K67" s="15">
        <f>IF(OR(A67="",D67=""),"",D67-H67-I67)</f>
        <v/>
      </c>
      <c r="L67" s="12">
        <f>IF(K67="","",IF(K67&gt;0,"На руках",IF(I67&gt;0,IF(H67&gt;0,"Удержан частично","Удержан"),"Возвращён")))</f>
        <v/>
      </c>
      <c r="M67" s="10" t="n"/>
      <c r="N67" s="19">
        <f>IF(K67="","",IF(K67&gt;0,IFERROR(IF(INDEX(Брони!$F$2:$F$500,MATCH(A67,Брони!$A$2:$A$500,0))="Возвращена",TODAY()-INT(INDEX(Брони!$E$2:$E$500,MATCH(A67,Брони!$A$2:$A$500,0))),""),""),""))</f>
        <v/>
      </c>
      <c r="O67" s="19">
        <f>IF(OR(N67="",Настройки!$B$8=""),"",IF(N67&gt;Настройки!$B$8,1,""))</f>
        <v/>
      </c>
    </row>
    <row r="68">
      <c r="A68" s="9" t="n"/>
      <c r="B68" s="12">
        <f>IF(A68="","",IFERROR(INDEX(Брони!$C$2:$C$500,MATCH(A68,Брони!$A$2:$A$500,0)),""))</f>
        <v/>
      </c>
      <c r="C68" s="12">
        <f>IF(A68="","",IFERROR(INDEX(Брони!$B$2:$B$500,MATCH(A68,Брони!$A$2:$A$500,0)),""))</f>
        <v/>
      </c>
      <c r="D68" s="14" t="n"/>
      <c r="E68" s="10" t="n"/>
      <c r="F68" s="18" t="n"/>
      <c r="G68" s="18" t="n"/>
      <c r="H68" s="14" t="n"/>
      <c r="I68" s="14" t="n"/>
      <c r="J68" s="10" t="n"/>
      <c r="K68" s="15">
        <f>IF(OR(A68="",D68=""),"",D68-H68-I68)</f>
        <v/>
      </c>
      <c r="L68" s="12">
        <f>IF(K68="","",IF(K68&gt;0,"На руках",IF(I68&gt;0,IF(H68&gt;0,"Удержан частично","Удержан"),"Возвращён")))</f>
        <v/>
      </c>
      <c r="M68" s="10" t="n"/>
      <c r="N68" s="19">
        <f>IF(K68="","",IF(K68&gt;0,IFERROR(IF(INDEX(Брони!$F$2:$F$500,MATCH(A68,Брони!$A$2:$A$500,0))="Возвращена",TODAY()-INT(INDEX(Брони!$E$2:$E$500,MATCH(A68,Брони!$A$2:$A$500,0))),""),""),""))</f>
        <v/>
      </c>
      <c r="O68" s="19">
        <f>IF(OR(N68="",Настройки!$B$8=""),"",IF(N68&gt;Настройки!$B$8,1,""))</f>
        <v/>
      </c>
    </row>
    <row r="69">
      <c r="A69" s="9" t="n"/>
      <c r="B69" s="12">
        <f>IF(A69="","",IFERROR(INDEX(Брони!$C$2:$C$500,MATCH(A69,Брони!$A$2:$A$500,0)),""))</f>
        <v/>
      </c>
      <c r="C69" s="12">
        <f>IF(A69="","",IFERROR(INDEX(Брони!$B$2:$B$500,MATCH(A69,Брони!$A$2:$A$500,0)),""))</f>
        <v/>
      </c>
      <c r="D69" s="14" t="n"/>
      <c r="E69" s="10" t="n"/>
      <c r="F69" s="18" t="n"/>
      <c r="G69" s="18" t="n"/>
      <c r="H69" s="14" t="n"/>
      <c r="I69" s="14" t="n"/>
      <c r="J69" s="10" t="n"/>
      <c r="K69" s="15">
        <f>IF(OR(A69="",D69=""),"",D69-H69-I69)</f>
        <v/>
      </c>
      <c r="L69" s="12">
        <f>IF(K69="","",IF(K69&gt;0,"На руках",IF(I69&gt;0,IF(H69&gt;0,"Удержан частично","Удержан"),"Возвращён")))</f>
        <v/>
      </c>
      <c r="M69" s="10" t="n"/>
      <c r="N69" s="19">
        <f>IF(K69="","",IF(K69&gt;0,IFERROR(IF(INDEX(Брони!$F$2:$F$500,MATCH(A69,Брони!$A$2:$A$500,0))="Возвращена",TODAY()-INT(INDEX(Брони!$E$2:$E$500,MATCH(A69,Брони!$A$2:$A$500,0))),""),""),""))</f>
        <v/>
      </c>
      <c r="O69" s="19">
        <f>IF(OR(N69="",Настройки!$B$8=""),"",IF(N69&gt;Настройки!$B$8,1,""))</f>
        <v/>
      </c>
    </row>
    <row r="70">
      <c r="A70" s="9" t="n"/>
      <c r="B70" s="12">
        <f>IF(A70="","",IFERROR(INDEX(Брони!$C$2:$C$500,MATCH(A70,Брони!$A$2:$A$500,0)),""))</f>
        <v/>
      </c>
      <c r="C70" s="12">
        <f>IF(A70="","",IFERROR(INDEX(Брони!$B$2:$B$500,MATCH(A70,Брони!$A$2:$A$500,0)),""))</f>
        <v/>
      </c>
      <c r="D70" s="14" t="n"/>
      <c r="E70" s="10" t="n"/>
      <c r="F70" s="18" t="n"/>
      <c r="G70" s="18" t="n"/>
      <c r="H70" s="14" t="n"/>
      <c r="I70" s="14" t="n"/>
      <c r="J70" s="10" t="n"/>
      <c r="K70" s="15">
        <f>IF(OR(A70="",D70=""),"",D70-H70-I70)</f>
        <v/>
      </c>
      <c r="L70" s="12">
        <f>IF(K70="","",IF(K70&gt;0,"На руках",IF(I70&gt;0,IF(H70&gt;0,"Удержан частично","Удержан"),"Возвращён")))</f>
        <v/>
      </c>
      <c r="M70" s="10" t="n"/>
      <c r="N70" s="19">
        <f>IF(K70="","",IF(K70&gt;0,IFERROR(IF(INDEX(Брони!$F$2:$F$500,MATCH(A70,Брони!$A$2:$A$500,0))="Возвращена",TODAY()-INT(INDEX(Брони!$E$2:$E$500,MATCH(A70,Брони!$A$2:$A$500,0))),""),""),""))</f>
        <v/>
      </c>
      <c r="O70" s="19">
        <f>IF(OR(N70="",Настройки!$B$8=""),"",IF(N70&gt;Настройки!$B$8,1,""))</f>
        <v/>
      </c>
    </row>
    <row r="71">
      <c r="A71" s="9" t="n"/>
      <c r="B71" s="12">
        <f>IF(A71="","",IFERROR(INDEX(Брони!$C$2:$C$500,MATCH(A71,Брони!$A$2:$A$500,0)),""))</f>
        <v/>
      </c>
      <c r="C71" s="12">
        <f>IF(A71="","",IFERROR(INDEX(Брони!$B$2:$B$500,MATCH(A71,Брони!$A$2:$A$500,0)),""))</f>
        <v/>
      </c>
      <c r="D71" s="14" t="n"/>
      <c r="E71" s="10" t="n"/>
      <c r="F71" s="18" t="n"/>
      <c r="G71" s="18" t="n"/>
      <c r="H71" s="14" t="n"/>
      <c r="I71" s="14" t="n"/>
      <c r="J71" s="10" t="n"/>
      <c r="K71" s="15">
        <f>IF(OR(A71="",D71=""),"",D71-H71-I71)</f>
        <v/>
      </c>
      <c r="L71" s="12">
        <f>IF(K71="","",IF(K71&gt;0,"На руках",IF(I71&gt;0,IF(H71&gt;0,"Удержан частично","Удержан"),"Возвращён")))</f>
        <v/>
      </c>
      <c r="M71" s="10" t="n"/>
      <c r="N71" s="19">
        <f>IF(K71="","",IF(K71&gt;0,IFERROR(IF(INDEX(Брони!$F$2:$F$500,MATCH(A71,Брони!$A$2:$A$500,0))="Возвращена",TODAY()-INT(INDEX(Брони!$E$2:$E$500,MATCH(A71,Брони!$A$2:$A$500,0))),""),""),""))</f>
        <v/>
      </c>
      <c r="O71" s="19">
        <f>IF(OR(N71="",Настройки!$B$8=""),"",IF(N71&gt;Настройки!$B$8,1,""))</f>
        <v/>
      </c>
    </row>
    <row r="72">
      <c r="A72" s="9" t="n"/>
      <c r="B72" s="12">
        <f>IF(A72="","",IFERROR(INDEX(Брони!$C$2:$C$500,MATCH(A72,Брони!$A$2:$A$500,0)),""))</f>
        <v/>
      </c>
      <c r="C72" s="12">
        <f>IF(A72="","",IFERROR(INDEX(Брони!$B$2:$B$500,MATCH(A72,Брони!$A$2:$A$500,0)),""))</f>
        <v/>
      </c>
      <c r="D72" s="14" t="n"/>
      <c r="E72" s="10" t="n"/>
      <c r="F72" s="18" t="n"/>
      <c r="G72" s="18" t="n"/>
      <c r="H72" s="14" t="n"/>
      <c r="I72" s="14" t="n"/>
      <c r="J72" s="10" t="n"/>
      <c r="K72" s="15">
        <f>IF(OR(A72="",D72=""),"",D72-H72-I72)</f>
        <v/>
      </c>
      <c r="L72" s="12">
        <f>IF(K72="","",IF(K72&gt;0,"На руках",IF(I72&gt;0,IF(H72&gt;0,"Удержан частично","Удержан"),"Возвращён")))</f>
        <v/>
      </c>
      <c r="M72" s="10" t="n"/>
      <c r="N72" s="19">
        <f>IF(K72="","",IF(K72&gt;0,IFERROR(IF(INDEX(Брони!$F$2:$F$500,MATCH(A72,Брони!$A$2:$A$500,0))="Возвращена",TODAY()-INT(INDEX(Брони!$E$2:$E$500,MATCH(A72,Брони!$A$2:$A$500,0))),""),""),""))</f>
        <v/>
      </c>
      <c r="O72" s="19">
        <f>IF(OR(N72="",Настройки!$B$8=""),"",IF(N72&gt;Настройки!$B$8,1,""))</f>
        <v/>
      </c>
    </row>
    <row r="73">
      <c r="A73" s="9" t="n"/>
      <c r="B73" s="12">
        <f>IF(A73="","",IFERROR(INDEX(Брони!$C$2:$C$500,MATCH(A73,Брони!$A$2:$A$500,0)),""))</f>
        <v/>
      </c>
      <c r="C73" s="12">
        <f>IF(A73="","",IFERROR(INDEX(Брони!$B$2:$B$500,MATCH(A73,Брони!$A$2:$A$500,0)),""))</f>
        <v/>
      </c>
      <c r="D73" s="14" t="n"/>
      <c r="E73" s="10" t="n"/>
      <c r="F73" s="18" t="n"/>
      <c r="G73" s="18" t="n"/>
      <c r="H73" s="14" t="n"/>
      <c r="I73" s="14" t="n"/>
      <c r="J73" s="10" t="n"/>
      <c r="K73" s="15">
        <f>IF(OR(A73="",D73=""),"",D73-H73-I73)</f>
        <v/>
      </c>
      <c r="L73" s="12">
        <f>IF(K73="","",IF(K73&gt;0,"На руках",IF(I73&gt;0,IF(H73&gt;0,"Удержан частично","Удержан"),"Возвращён")))</f>
        <v/>
      </c>
      <c r="M73" s="10" t="n"/>
      <c r="N73" s="19">
        <f>IF(K73="","",IF(K73&gt;0,IFERROR(IF(INDEX(Брони!$F$2:$F$500,MATCH(A73,Брони!$A$2:$A$500,0))="Возвращена",TODAY()-INT(INDEX(Брони!$E$2:$E$500,MATCH(A73,Брони!$A$2:$A$500,0))),""),""),""))</f>
        <v/>
      </c>
      <c r="O73" s="19">
        <f>IF(OR(N73="",Настройки!$B$8=""),"",IF(N73&gt;Настройки!$B$8,1,""))</f>
        <v/>
      </c>
    </row>
    <row r="74">
      <c r="A74" s="9" t="n"/>
      <c r="B74" s="12">
        <f>IF(A74="","",IFERROR(INDEX(Брони!$C$2:$C$500,MATCH(A74,Брони!$A$2:$A$500,0)),""))</f>
        <v/>
      </c>
      <c r="C74" s="12">
        <f>IF(A74="","",IFERROR(INDEX(Брони!$B$2:$B$500,MATCH(A74,Брони!$A$2:$A$500,0)),""))</f>
        <v/>
      </c>
      <c r="D74" s="14" t="n"/>
      <c r="E74" s="10" t="n"/>
      <c r="F74" s="18" t="n"/>
      <c r="G74" s="18" t="n"/>
      <c r="H74" s="14" t="n"/>
      <c r="I74" s="14" t="n"/>
      <c r="J74" s="10" t="n"/>
      <c r="K74" s="15">
        <f>IF(OR(A74="",D74=""),"",D74-H74-I74)</f>
        <v/>
      </c>
      <c r="L74" s="12">
        <f>IF(K74="","",IF(K74&gt;0,"На руках",IF(I74&gt;0,IF(H74&gt;0,"Удержан частично","Удержан"),"Возвращён")))</f>
        <v/>
      </c>
      <c r="M74" s="10" t="n"/>
      <c r="N74" s="19">
        <f>IF(K74="","",IF(K74&gt;0,IFERROR(IF(INDEX(Брони!$F$2:$F$500,MATCH(A74,Брони!$A$2:$A$500,0))="Возвращена",TODAY()-INT(INDEX(Брони!$E$2:$E$500,MATCH(A74,Брони!$A$2:$A$500,0))),""),""),""))</f>
        <v/>
      </c>
      <c r="O74" s="19">
        <f>IF(OR(N74="",Настройки!$B$8=""),"",IF(N74&gt;Настройки!$B$8,1,""))</f>
        <v/>
      </c>
    </row>
    <row r="75">
      <c r="A75" s="9" t="n"/>
      <c r="B75" s="12">
        <f>IF(A75="","",IFERROR(INDEX(Брони!$C$2:$C$500,MATCH(A75,Брони!$A$2:$A$500,0)),""))</f>
        <v/>
      </c>
      <c r="C75" s="12">
        <f>IF(A75="","",IFERROR(INDEX(Брони!$B$2:$B$500,MATCH(A75,Брони!$A$2:$A$500,0)),""))</f>
        <v/>
      </c>
      <c r="D75" s="14" t="n"/>
      <c r="E75" s="10" t="n"/>
      <c r="F75" s="18" t="n"/>
      <c r="G75" s="18" t="n"/>
      <c r="H75" s="14" t="n"/>
      <c r="I75" s="14" t="n"/>
      <c r="J75" s="10" t="n"/>
      <c r="K75" s="15">
        <f>IF(OR(A75="",D75=""),"",D75-H75-I75)</f>
        <v/>
      </c>
      <c r="L75" s="12">
        <f>IF(K75="","",IF(K75&gt;0,"На руках",IF(I75&gt;0,IF(H75&gt;0,"Удержан частично","Удержан"),"Возвращён")))</f>
        <v/>
      </c>
      <c r="M75" s="10" t="n"/>
      <c r="N75" s="19">
        <f>IF(K75="","",IF(K75&gt;0,IFERROR(IF(INDEX(Брони!$F$2:$F$500,MATCH(A75,Брони!$A$2:$A$500,0))="Возвращена",TODAY()-INT(INDEX(Брони!$E$2:$E$500,MATCH(A75,Брони!$A$2:$A$500,0))),""),""),""))</f>
        <v/>
      </c>
      <c r="O75" s="19">
        <f>IF(OR(N75="",Настройки!$B$8=""),"",IF(N75&gt;Настройки!$B$8,1,""))</f>
        <v/>
      </c>
    </row>
    <row r="76">
      <c r="A76" s="9" t="n"/>
      <c r="B76" s="12">
        <f>IF(A76="","",IFERROR(INDEX(Брони!$C$2:$C$500,MATCH(A76,Брони!$A$2:$A$500,0)),""))</f>
        <v/>
      </c>
      <c r="C76" s="12">
        <f>IF(A76="","",IFERROR(INDEX(Брони!$B$2:$B$500,MATCH(A76,Брони!$A$2:$A$500,0)),""))</f>
        <v/>
      </c>
      <c r="D76" s="14" t="n"/>
      <c r="E76" s="10" t="n"/>
      <c r="F76" s="18" t="n"/>
      <c r="G76" s="18" t="n"/>
      <c r="H76" s="14" t="n"/>
      <c r="I76" s="14" t="n"/>
      <c r="J76" s="10" t="n"/>
      <c r="K76" s="15">
        <f>IF(OR(A76="",D76=""),"",D76-H76-I76)</f>
        <v/>
      </c>
      <c r="L76" s="12">
        <f>IF(K76="","",IF(K76&gt;0,"На руках",IF(I76&gt;0,IF(H76&gt;0,"Удержан частично","Удержан"),"Возвращён")))</f>
        <v/>
      </c>
      <c r="M76" s="10" t="n"/>
      <c r="N76" s="19">
        <f>IF(K76="","",IF(K76&gt;0,IFERROR(IF(INDEX(Брони!$F$2:$F$500,MATCH(A76,Брони!$A$2:$A$500,0))="Возвращена",TODAY()-INT(INDEX(Брони!$E$2:$E$500,MATCH(A76,Брони!$A$2:$A$500,0))),""),""),""))</f>
        <v/>
      </c>
      <c r="O76" s="19">
        <f>IF(OR(N76="",Настройки!$B$8=""),"",IF(N76&gt;Настройки!$B$8,1,""))</f>
        <v/>
      </c>
    </row>
    <row r="77">
      <c r="A77" s="9" t="n"/>
      <c r="B77" s="12">
        <f>IF(A77="","",IFERROR(INDEX(Брони!$C$2:$C$500,MATCH(A77,Брони!$A$2:$A$500,0)),""))</f>
        <v/>
      </c>
      <c r="C77" s="12">
        <f>IF(A77="","",IFERROR(INDEX(Брони!$B$2:$B$500,MATCH(A77,Брони!$A$2:$A$500,0)),""))</f>
        <v/>
      </c>
      <c r="D77" s="14" t="n"/>
      <c r="E77" s="10" t="n"/>
      <c r="F77" s="18" t="n"/>
      <c r="G77" s="18" t="n"/>
      <c r="H77" s="14" t="n"/>
      <c r="I77" s="14" t="n"/>
      <c r="J77" s="10" t="n"/>
      <c r="K77" s="15">
        <f>IF(OR(A77="",D77=""),"",D77-H77-I77)</f>
        <v/>
      </c>
      <c r="L77" s="12">
        <f>IF(K77="","",IF(K77&gt;0,"На руках",IF(I77&gt;0,IF(H77&gt;0,"Удержан частично","Удержан"),"Возвращён")))</f>
        <v/>
      </c>
      <c r="M77" s="10" t="n"/>
      <c r="N77" s="19">
        <f>IF(K77="","",IF(K77&gt;0,IFERROR(IF(INDEX(Брони!$F$2:$F$500,MATCH(A77,Брони!$A$2:$A$500,0))="Возвращена",TODAY()-INT(INDEX(Брони!$E$2:$E$500,MATCH(A77,Брони!$A$2:$A$500,0))),""),""),""))</f>
        <v/>
      </c>
      <c r="O77" s="19">
        <f>IF(OR(N77="",Настройки!$B$8=""),"",IF(N77&gt;Настройки!$B$8,1,""))</f>
        <v/>
      </c>
    </row>
    <row r="78">
      <c r="A78" s="9" t="n"/>
      <c r="B78" s="12">
        <f>IF(A78="","",IFERROR(INDEX(Брони!$C$2:$C$500,MATCH(A78,Брони!$A$2:$A$500,0)),""))</f>
        <v/>
      </c>
      <c r="C78" s="12">
        <f>IF(A78="","",IFERROR(INDEX(Брони!$B$2:$B$500,MATCH(A78,Брони!$A$2:$A$500,0)),""))</f>
        <v/>
      </c>
      <c r="D78" s="14" t="n"/>
      <c r="E78" s="10" t="n"/>
      <c r="F78" s="18" t="n"/>
      <c r="G78" s="18" t="n"/>
      <c r="H78" s="14" t="n"/>
      <c r="I78" s="14" t="n"/>
      <c r="J78" s="10" t="n"/>
      <c r="K78" s="15">
        <f>IF(OR(A78="",D78=""),"",D78-H78-I78)</f>
        <v/>
      </c>
      <c r="L78" s="12">
        <f>IF(K78="","",IF(K78&gt;0,"На руках",IF(I78&gt;0,IF(H78&gt;0,"Удержан частично","Удержан"),"Возвращён")))</f>
        <v/>
      </c>
      <c r="M78" s="10" t="n"/>
      <c r="N78" s="19">
        <f>IF(K78="","",IF(K78&gt;0,IFERROR(IF(INDEX(Брони!$F$2:$F$500,MATCH(A78,Брони!$A$2:$A$500,0))="Возвращена",TODAY()-INT(INDEX(Брони!$E$2:$E$500,MATCH(A78,Брони!$A$2:$A$500,0))),""),""),""))</f>
        <v/>
      </c>
      <c r="O78" s="19">
        <f>IF(OR(N78="",Настройки!$B$8=""),"",IF(N78&gt;Настройки!$B$8,1,""))</f>
        <v/>
      </c>
    </row>
    <row r="79">
      <c r="A79" s="9" t="n"/>
      <c r="B79" s="12">
        <f>IF(A79="","",IFERROR(INDEX(Брони!$C$2:$C$500,MATCH(A79,Брони!$A$2:$A$500,0)),""))</f>
        <v/>
      </c>
      <c r="C79" s="12">
        <f>IF(A79="","",IFERROR(INDEX(Брони!$B$2:$B$500,MATCH(A79,Брони!$A$2:$A$500,0)),""))</f>
        <v/>
      </c>
      <c r="D79" s="14" t="n"/>
      <c r="E79" s="10" t="n"/>
      <c r="F79" s="18" t="n"/>
      <c r="G79" s="18" t="n"/>
      <c r="H79" s="14" t="n"/>
      <c r="I79" s="14" t="n"/>
      <c r="J79" s="10" t="n"/>
      <c r="K79" s="15">
        <f>IF(OR(A79="",D79=""),"",D79-H79-I79)</f>
        <v/>
      </c>
      <c r="L79" s="12">
        <f>IF(K79="","",IF(K79&gt;0,"На руках",IF(I79&gt;0,IF(H79&gt;0,"Удержан частично","Удержан"),"Возвращён")))</f>
        <v/>
      </c>
      <c r="M79" s="10" t="n"/>
      <c r="N79" s="19">
        <f>IF(K79="","",IF(K79&gt;0,IFERROR(IF(INDEX(Брони!$F$2:$F$500,MATCH(A79,Брони!$A$2:$A$500,0))="Возвращена",TODAY()-INT(INDEX(Брони!$E$2:$E$500,MATCH(A79,Брони!$A$2:$A$500,0))),""),""),""))</f>
        <v/>
      </c>
      <c r="O79" s="19">
        <f>IF(OR(N79="",Настройки!$B$8=""),"",IF(N79&gt;Настройки!$B$8,1,""))</f>
        <v/>
      </c>
    </row>
    <row r="80">
      <c r="A80" s="9" t="n"/>
      <c r="B80" s="12">
        <f>IF(A80="","",IFERROR(INDEX(Брони!$C$2:$C$500,MATCH(A80,Брони!$A$2:$A$500,0)),""))</f>
        <v/>
      </c>
      <c r="C80" s="12">
        <f>IF(A80="","",IFERROR(INDEX(Брони!$B$2:$B$500,MATCH(A80,Брони!$A$2:$A$500,0)),""))</f>
        <v/>
      </c>
      <c r="D80" s="14" t="n"/>
      <c r="E80" s="10" t="n"/>
      <c r="F80" s="18" t="n"/>
      <c r="G80" s="18" t="n"/>
      <c r="H80" s="14" t="n"/>
      <c r="I80" s="14" t="n"/>
      <c r="J80" s="10" t="n"/>
      <c r="K80" s="15">
        <f>IF(OR(A80="",D80=""),"",D80-H80-I80)</f>
        <v/>
      </c>
      <c r="L80" s="12">
        <f>IF(K80="","",IF(K80&gt;0,"На руках",IF(I80&gt;0,IF(H80&gt;0,"Удержан частично","Удержан"),"Возвращён")))</f>
        <v/>
      </c>
      <c r="M80" s="10" t="n"/>
      <c r="N80" s="19">
        <f>IF(K80="","",IF(K80&gt;0,IFERROR(IF(INDEX(Брони!$F$2:$F$500,MATCH(A80,Брони!$A$2:$A$500,0))="Возвращена",TODAY()-INT(INDEX(Брони!$E$2:$E$500,MATCH(A80,Брони!$A$2:$A$500,0))),""),""),""))</f>
        <v/>
      </c>
      <c r="O80" s="19">
        <f>IF(OR(N80="",Настройки!$B$8=""),"",IF(N80&gt;Настройки!$B$8,1,""))</f>
        <v/>
      </c>
    </row>
    <row r="81">
      <c r="A81" s="9" t="n"/>
      <c r="B81" s="12">
        <f>IF(A81="","",IFERROR(INDEX(Брони!$C$2:$C$500,MATCH(A81,Брони!$A$2:$A$500,0)),""))</f>
        <v/>
      </c>
      <c r="C81" s="12">
        <f>IF(A81="","",IFERROR(INDEX(Брони!$B$2:$B$500,MATCH(A81,Брони!$A$2:$A$500,0)),""))</f>
        <v/>
      </c>
      <c r="D81" s="14" t="n"/>
      <c r="E81" s="10" t="n"/>
      <c r="F81" s="18" t="n"/>
      <c r="G81" s="18" t="n"/>
      <c r="H81" s="14" t="n"/>
      <c r="I81" s="14" t="n"/>
      <c r="J81" s="10" t="n"/>
      <c r="K81" s="15">
        <f>IF(OR(A81="",D81=""),"",D81-H81-I81)</f>
        <v/>
      </c>
      <c r="L81" s="12">
        <f>IF(K81="","",IF(K81&gt;0,"На руках",IF(I81&gt;0,IF(H81&gt;0,"Удержан частично","Удержан"),"Возвращён")))</f>
        <v/>
      </c>
      <c r="M81" s="10" t="n"/>
      <c r="N81" s="19">
        <f>IF(K81="","",IF(K81&gt;0,IFERROR(IF(INDEX(Брони!$F$2:$F$500,MATCH(A81,Брони!$A$2:$A$500,0))="Возвращена",TODAY()-INT(INDEX(Брони!$E$2:$E$500,MATCH(A81,Брони!$A$2:$A$500,0))),""),""),""))</f>
        <v/>
      </c>
      <c r="O81" s="19">
        <f>IF(OR(N81="",Настройки!$B$8=""),"",IF(N81&gt;Настройки!$B$8,1,""))</f>
        <v/>
      </c>
    </row>
    <row r="82">
      <c r="A82" s="9" t="n"/>
      <c r="B82" s="12">
        <f>IF(A82="","",IFERROR(INDEX(Брони!$C$2:$C$500,MATCH(A82,Брони!$A$2:$A$500,0)),""))</f>
        <v/>
      </c>
      <c r="C82" s="12">
        <f>IF(A82="","",IFERROR(INDEX(Брони!$B$2:$B$500,MATCH(A82,Брони!$A$2:$A$500,0)),""))</f>
        <v/>
      </c>
      <c r="D82" s="14" t="n"/>
      <c r="E82" s="10" t="n"/>
      <c r="F82" s="18" t="n"/>
      <c r="G82" s="18" t="n"/>
      <c r="H82" s="14" t="n"/>
      <c r="I82" s="14" t="n"/>
      <c r="J82" s="10" t="n"/>
      <c r="K82" s="15">
        <f>IF(OR(A82="",D82=""),"",D82-H82-I82)</f>
        <v/>
      </c>
      <c r="L82" s="12">
        <f>IF(K82="","",IF(K82&gt;0,"На руках",IF(I82&gt;0,IF(H82&gt;0,"Удержан частично","Удержан"),"Возвращён")))</f>
        <v/>
      </c>
      <c r="M82" s="10" t="n"/>
      <c r="N82" s="19">
        <f>IF(K82="","",IF(K82&gt;0,IFERROR(IF(INDEX(Брони!$F$2:$F$500,MATCH(A82,Брони!$A$2:$A$500,0))="Возвращена",TODAY()-INT(INDEX(Брони!$E$2:$E$500,MATCH(A82,Брони!$A$2:$A$500,0))),""),""),""))</f>
        <v/>
      </c>
      <c r="O82" s="19">
        <f>IF(OR(N82="",Настройки!$B$8=""),"",IF(N82&gt;Настройки!$B$8,1,""))</f>
        <v/>
      </c>
    </row>
    <row r="83">
      <c r="A83" s="9" t="n"/>
      <c r="B83" s="12">
        <f>IF(A83="","",IFERROR(INDEX(Брони!$C$2:$C$500,MATCH(A83,Брони!$A$2:$A$500,0)),""))</f>
        <v/>
      </c>
      <c r="C83" s="12">
        <f>IF(A83="","",IFERROR(INDEX(Брони!$B$2:$B$500,MATCH(A83,Брони!$A$2:$A$500,0)),""))</f>
        <v/>
      </c>
      <c r="D83" s="14" t="n"/>
      <c r="E83" s="10" t="n"/>
      <c r="F83" s="18" t="n"/>
      <c r="G83" s="18" t="n"/>
      <c r="H83" s="14" t="n"/>
      <c r="I83" s="14" t="n"/>
      <c r="J83" s="10" t="n"/>
      <c r="K83" s="15">
        <f>IF(OR(A83="",D83=""),"",D83-H83-I83)</f>
        <v/>
      </c>
      <c r="L83" s="12">
        <f>IF(K83="","",IF(K83&gt;0,"На руках",IF(I83&gt;0,IF(H83&gt;0,"Удержан частично","Удержан"),"Возвращён")))</f>
        <v/>
      </c>
      <c r="M83" s="10" t="n"/>
      <c r="N83" s="19">
        <f>IF(K83="","",IF(K83&gt;0,IFERROR(IF(INDEX(Брони!$F$2:$F$500,MATCH(A83,Брони!$A$2:$A$500,0))="Возвращена",TODAY()-INT(INDEX(Брони!$E$2:$E$500,MATCH(A83,Брони!$A$2:$A$500,0))),""),""),""))</f>
        <v/>
      </c>
      <c r="O83" s="19">
        <f>IF(OR(N83="",Настройки!$B$8=""),"",IF(N83&gt;Настройки!$B$8,1,""))</f>
        <v/>
      </c>
    </row>
    <row r="84">
      <c r="A84" s="9" t="n"/>
      <c r="B84" s="12">
        <f>IF(A84="","",IFERROR(INDEX(Брони!$C$2:$C$500,MATCH(A84,Брони!$A$2:$A$500,0)),""))</f>
        <v/>
      </c>
      <c r="C84" s="12">
        <f>IF(A84="","",IFERROR(INDEX(Брони!$B$2:$B$500,MATCH(A84,Брони!$A$2:$A$500,0)),""))</f>
        <v/>
      </c>
      <c r="D84" s="14" t="n"/>
      <c r="E84" s="10" t="n"/>
      <c r="F84" s="18" t="n"/>
      <c r="G84" s="18" t="n"/>
      <c r="H84" s="14" t="n"/>
      <c r="I84" s="14" t="n"/>
      <c r="J84" s="10" t="n"/>
      <c r="K84" s="15">
        <f>IF(OR(A84="",D84=""),"",D84-H84-I84)</f>
        <v/>
      </c>
      <c r="L84" s="12">
        <f>IF(K84="","",IF(K84&gt;0,"На руках",IF(I84&gt;0,IF(H84&gt;0,"Удержан частично","Удержан"),"Возвращён")))</f>
        <v/>
      </c>
      <c r="M84" s="10" t="n"/>
      <c r="N84" s="19">
        <f>IF(K84="","",IF(K84&gt;0,IFERROR(IF(INDEX(Брони!$F$2:$F$500,MATCH(A84,Брони!$A$2:$A$500,0))="Возвращена",TODAY()-INT(INDEX(Брони!$E$2:$E$500,MATCH(A84,Брони!$A$2:$A$500,0))),""),""),""))</f>
        <v/>
      </c>
      <c r="O84" s="19">
        <f>IF(OR(N84="",Настройки!$B$8=""),"",IF(N84&gt;Настройки!$B$8,1,""))</f>
        <v/>
      </c>
    </row>
    <row r="85">
      <c r="A85" s="9" t="n"/>
      <c r="B85" s="12">
        <f>IF(A85="","",IFERROR(INDEX(Брони!$C$2:$C$500,MATCH(A85,Брони!$A$2:$A$500,0)),""))</f>
        <v/>
      </c>
      <c r="C85" s="12">
        <f>IF(A85="","",IFERROR(INDEX(Брони!$B$2:$B$500,MATCH(A85,Брони!$A$2:$A$500,0)),""))</f>
        <v/>
      </c>
      <c r="D85" s="14" t="n"/>
      <c r="E85" s="10" t="n"/>
      <c r="F85" s="18" t="n"/>
      <c r="G85" s="18" t="n"/>
      <c r="H85" s="14" t="n"/>
      <c r="I85" s="14" t="n"/>
      <c r="J85" s="10" t="n"/>
      <c r="K85" s="15">
        <f>IF(OR(A85="",D85=""),"",D85-H85-I85)</f>
        <v/>
      </c>
      <c r="L85" s="12">
        <f>IF(K85="","",IF(K85&gt;0,"На руках",IF(I85&gt;0,IF(H85&gt;0,"Удержан частично","Удержан"),"Возвращён")))</f>
        <v/>
      </c>
      <c r="M85" s="10" t="n"/>
      <c r="N85" s="19">
        <f>IF(K85="","",IF(K85&gt;0,IFERROR(IF(INDEX(Брони!$F$2:$F$500,MATCH(A85,Брони!$A$2:$A$500,0))="Возвращена",TODAY()-INT(INDEX(Брони!$E$2:$E$500,MATCH(A85,Брони!$A$2:$A$500,0))),""),""),""))</f>
        <v/>
      </c>
      <c r="O85" s="19">
        <f>IF(OR(N85="",Настройки!$B$8=""),"",IF(N85&gt;Настройки!$B$8,1,""))</f>
        <v/>
      </c>
    </row>
    <row r="86">
      <c r="A86" s="9" t="n"/>
      <c r="B86" s="12">
        <f>IF(A86="","",IFERROR(INDEX(Брони!$C$2:$C$500,MATCH(A86,Брони!$A$2:$A$500,0)),""))</f>
        <v/>
      </c>
      <c r="C86" s="12">
        <f>IF(A86="","",IFERROR(INDEX(Брони!$B$2:$B$500,MATCH(A86,Брони!$A$2:$A$500,0)),""))</f>
        <v/>
      </c>
      <c r="D86" s="14" t="n"/>
      <c r="E86" s="10" t="n"/>
      <c r="F86" s="18" t="n"/>
      <c r="G86" s="18" t="n"/>
      <c r="H86" s="14" t="n"/>
      <c r="I86" s="14" t="n"/>
      <c r="J86" s="10" t="n"/>
      <c r="K86" s="15">
        <f>IF(OR(A86="",D86=""),"",D86-H86-I86)</f>
        <v/>
      </c>
      <c r="L86" s="12">
        <f>IF(K86="","",IF(K86&gt;0,"На руках",IF(I86&gt;0,IF(H86&gt;0,"Удержан частично","Удержан"),"Возвращён")))</f>
        <v/>
      </c>
      <c r="M86" s="10" t="n"/>
      <c r="N86" s="19">
        <f>IF(K86="","",IF(K86&gt;0,IFERROR(IF(INDEX(Брони!$F$2:$F$500,MATCH(A86,Брони!$A$2:$A$500,0))="Возвращена",TODAY()-INT(INDEX(Брони!$E$2:$E$500,MATCH(A86,Брони!$A$2:$A$500,0))),""),""),""))</f>
        <v/>
      </c>
      <c r="O86" s="19">
        <f>IF(OR(N86="",Настройки!$B$8=""),"",IF(N86&gt;Настройки!$B$8,1,""))</f>
        <v/>
      </c>
    </row>
    <row r="87">
      <c r="A87" s="9" t="n"/>
      <c r="B87" s="12">
        <f>IF(A87="","",IFERROR(INDEX(Брони!$C$2:$C$500,MATCH(A87,Брони!$A$2:$A$500,0)),""))</f>
        <v/>
      </c>
      <c r="C87" s="12">
        <f>IF(A87="","",IFERROR(INDEX(Брони!$B$2:$B$500,MATCH(A87,Брони!$A$2:$A$500,0)),""))</f>
        <v/>
      </c>
      <c r="D87" s="14" t="n"/>
      <c r="E87" s="10" t="n"/>
      <c r="F87" s="18" t="n"/>
      <c r="G87" s="18" t="n"/>
      <c r="H87" s="14" t="n"/>
      <c r="I87" s="14" t="n"/>
      <c r="J87" s="10" t="n"/>
      <c r="K87" s="15">
        <f>IF(OR(A87="",D87=""),"",D87-H87-I87)</f>
        <v/>
      </c>
      <c r="L87" s="12">
        <f>IF(K87="","",IF(K87&gt;0,"На руках",IF(I87&gt;0,IF(H87&gt;0,"Удержан частично","Удержан"),"Возвращён")))</f>
        <v/>
      </c>
      <c r="M87" s="10" t="n"/>
      <c r="N87" s="19">
        <f>IF(K87="","",IF(K87&gt;0,IFERROR(IF(INDEX(Брони!$F$2:$F$500,MATCH(A87,Брони!$A$2:$A$500,0))="Возвращена",TODAY()-INT(INDEX(Брони!$E$2:$E$500,MATCH(A87,Брони!$A$2:$A$500,0))),""),""),""))</f>
        <v/>
      </c>
      <c r="O87" s="19">
        <f>IF(OR(N87="",Настройки!$B$8=""),"",IF(N87&gt;Настройки!$B$8,1,""))</f>
        <v/>
      </c>
    </row>
    <row r="88">
      <c r="A88" s="9" t="n"/>
      <c r="B88" s="12">
        <f>IF(A88="","",IFERROR(INDEX(Брони!$C$2:$C$500,MATCH(A88,Брони!$A$2:$A$500,0)),""))</f>
        <v/>
      </c>
      <c r="C88" s="12">
        <f>IF(A88="","",IFERROR(INDEX(Брони!$B$2:$B$500,MATCH(A88,Брони!$A$2:$A$500,0)),""))</f>
        <v/>
      </c>
      <c r="D88" s="14" t="n"/>
      <c r="E88" s="10" t="n"/>
      <c r="F88" s="18" t="n"/>
      <c r="G88" s="18" t="n"/>
      <c r="H88" s="14" t="n"/>
      <c r="I88" s="14" t="n"/>
      <c r="J88" s="10" t="n"/>
      <c r="K88" s="15">
        <f>IF(OR(A88="",D88=""),"",D88-H88-I88)</f>
        <v/>
      </c>
      <c r="L88" s="12">
        <f>IF(K88="","",IF(K88&gt;0,"На руках",IF(I88&gt;0,IF(H88&gt;0,"Удержан частично","Удержан"),"Возвращён")))</f>
        <v/>
      </c>
      <c r="M88" s="10" t="n"/>
      <c r="N88" s="19">
        <f>IF(K88="","",IF(K88&gt;0,IFERROR(IF(INDEX(Брони!$F$2:$F$500,MATCH(A88,Брони!$A$2:$A$500,0))="Возвращена",TODAY()-INT(INDEX(Брони!$E$2:$E$500,MATCH(A88,Брони!$A$2:$A$500,0))),""),""),""))</f>
        <v/>
      </c>
      <c r="O88" s="19">
        <f>IF(OR(N88="",Настройки!$B$8=""),"",IF(N88&gt;Настройки!$B$8,1,""))</f>
        <v/>
      </c>
    </row>
    <row r="89">
      <c r="A89" s="9" t="n"/>
      <c r="B89" s="12">
        <f>IF(A89="","",IFERROR(INDEX(Брони!$C$2:$C$500,MATCH(A89,Брони!$A$2:$A$500,0)),""))</f>
        <v/>
      </c>
      <c r="C89" s="12">
        <f>IF(A89="","",IFERROR(INDEX(Брони!$B$2:$B$500,MATCH(A89,Брони!$A$2:$A$500,0)),""))</f>
        <v/>
      </c>
      <c r="D89" s="14" t="n"/>
      <c r="E89" s="10" t="n"/>
      <c r="F89" s="18" t="n"/>
      <c r="G89" s="18" t="n"/>
      <c r="H89" s="14" t="n"/>
      <c r="I89" s="14" t="n"/>
      <c r="J89" s="10" t="n"/>
      <c r="K89" s="15">
        <f>IF(OR(A89="",D89=""),"",D89-H89-I89)</f>
        <v/>
      </c>
      <c r="L89" s="12">
        <f>IF(K89="","",IF(K89&gt;0,"На руках",IF(I89&gt;0,IF(H89&gt;0,"Удержан частично","Удержан"),"Возвращён")))</f>
        <v/>
      </c>
      <c r="M89" s="10" t="n"/>
      <c r="N89" s="19">
        <f>IF(K89="","",IF(K89&gt;0,IFERROR(IF(INDEX(Брони!$F$2:$F$500,MATCH(A89,Брони!$A$2:$A$500,0))="Возвращена",TODAY()-INT(INDEX(Брони!$E$2:$E$500,MATCH(A89,Брони!$A$2:$A$500,0))),""),""),""))</f>
        <v/>
      </c>
      <c r="O89" s="19">
        <f>IF(OR(N89="",Настройки!$B$8=""),"",IF(N89&gt;Настройки!$B$8,1,""))</f>
        <v/>
      </c>
    </row>
    <row r="90">
      <c r="A90" s="9" t="n"/>
      <c r="B90" s="12">
        <f>IF(A90="","",IFERROR(INDEX(Брони!$C$2:$C$500,MATCH(A90,Брони!$A$2:$A$500,0)),""))</f>
        <v/>
      </c>
      <c r="C90" s="12">
        <f>IF(A90="","",IFERROR(INDEX(Брони!$B$2:$B$500,MATCH(A90,Брони!$A$2:$A$500,0)),""))</f>
        <v/>
      </c>
      <c r="D90" s="14" t="n"/>
      <c r="E90" s="10" t="n"/>
      <c r="F90" s="18" t="n"/>
      <c r="G90" s="18" t="n"/>
      <c r="H90" s="14" t="n"/>
      <c r="I90" s="14" t="n"/>
      <c r="J90" s="10" t="n"/>
      <c r="K90" s="15">
        <f>IF(OR(A90="",D90=""),"",D90-H90-I90)</f>
        <v/>
      </c>
      <c r="L90" s="12">
        <f>IF(K90="","",IF(K90&gt;0,"На руках",IF(I90&gt;0,IF(H90&gt;0,"Удержан частично","Удержан"),"Возвращён")))</f>
        <v/>
      </c>
      <c r="M90" s="10" t="n"/>
      <c r="N90" s="19">
        <f>IF(K90="","",IF(K90&gt;0,IFERROR(IF(INDEX(Брони!$F$2:$F$500,MATCH(A90,Брони!$A$2:$A$500,0))="Возвращена",TODAY()-INT(INDEX(Брони!$E$2:$E$500,MATCH(A90,Брони!$A$2:$A$500,0))),""),""),""))</f>
        <v/>
      </c>
      <c r="O90" s="19">
        <f>IF(OR(N90="",Настройки!$B$8=""),"",IF(N90&gt;Настройки!$B$8,1,""))</f>
        <v/>
      </c>
    </row>
    <row r="91">
      <c r="A91" s="9" t="n"/>
      <c r="B91" s="12">
        <f>IF(A91="","",IFERROR(INDEX(Брони!$C$2:$C$500,MATCH(A91,Брони!$A$2:$A$500,0)),""))</f>
        <v/>
      </c>
      <c r="C91" s="12">
        <f>IF(A91="","",IFERROR(INDEX(Брони!$B$2:$B$500,MATCH(A91,Брони!$A$2:$A$500,0)),""))</f>
        <v/>
      </c>
      <c r="D91" s="14" t="n"/>
      <c r="E91" s="10" t="n"/>
      <c r="F91" s="18" t="n"/>
      <c r="G91" s="18" t="n"/>
      <c r="H91" s="14" t="n"/>
      <c r="I91" s="14" t="n"/>
      <c r="J91" s="10" t="n"/>
      <c r="K91" s="15">
        <f>IF(OR(A91="",D91=""),"",D91-H91-I91)</f>
        <v/>
      </c>
      <c r="L91" s="12">
        <f>IF(K91="","",IF(K91&gt;0,"На руках",IF(I91&gt;0,IF(H91&gt;0,"Удержан частично","Удержан"),"Возвращён")))</f>
        <v/>
      </c>
      <c r="M91" s="10" t="n"/>
      <c r="N91" s="19">
        <f>IF(K91="","",IF(K91&gt;0,IFERROR(IF(INDEX(Брони!$F$2:$F$500,MATCH(A91,Брони!$A$2:$A$500,0))="Возвращена",TODAY()-INT(INDEX(Брони!$E$2:$E$500,MATCH(A91,Брони!$A$2:$A$500,0))),""),""),""))</f>
        <v/>
      </c>
      <c r="O91" s="19">
        <f>IF(OR(N91="",Настройки!$B$8=""),"",IF(N91&gt;Настройки!$B$8,1,""))</f>
        <v/>
      </c>
    </row>
    <row r="92">
      <c r="A92" s="9" t="n"/>
      <c r="B92" s="12">
        <f>IF(A92="","",IFERROR(INDEX(Брони!$C$2:$C$500,MATCH(A92,Брони!$A$2:$A$500,0)),""))</f>
        <v/>
      </c>
      <c r="C92" s="12">
        <f>IF(A92="","",IFERROR(INDEX(Брони!$B$2:$B$500,MATCH(A92,Брони!$A$2:$A$500,0)),""))</f>
        <v/>
      </c>
      <c r="D92" s="14" t="n"/>
      <c r="E92" s="10" t="n"/>
      <c r="F92" s="18" t="n"/>
      <c r="G92" s="18" t="n"/>
      <c r="H92" s="14" t="n"/>
      <c r="I92" s="14" t="n"/>
      <c r="J92" s="10" t="n"/>
      <c r="K92" s="15">
        <f>IF(OR(A92="",D92=""),"",D92-H92-I92)</f>
        <v/>
      </c>
      <c r="L92" s="12">
        <f>IF(K92="","",IF(K92&gt;0,"На руках",IF(I92&gt;0,IF(H92&gt;0,"Удержан частично","Удержан"),"Возвращён")))</f>
        <v/>
      </c>
      <c r="M92" s="10" t="n"/>
      <c r="N92" s="19">
        <f>IF(K92="","",IF(K92&gt;0,IFERROR(IF(INDEX(Брони!$F$2:$F$500,MATCH(A92,Брони!$A$2:$A$500,0))="Возвращена",TODAY()-INT(INDEX(Брони!$E$2:$E$500,MATCH(A92,Брони!$A$2:$A$500,0))),""),""),""))</f>
        <v/>
      </c>
      <c r="O92" s="19">
        <f>IF(OR(N92="",Настройки!$B$8=""),"",IF(N92&gt;Настройки!$B$8,1,""))</f>
        <v/>
      </c>
    </row>
    <row r="93">
      <c r="A93" s="9" t="n"/>
      <c r="B93" s="12">
        <f>IF(A93="","",IFERROR(INDEX(Брони!$C$2:$C$500,MATCH(A93,Брони!$A$2:$A$500,0)),""))</f>
        <v/>
      </c>
      <c r="C93" s="12">
        <f>IF(A93="","",IFERROR(INDEX(Брони!$B$2:$B$500,MATCH(A93,Брони!$A$2:$A$500,0)),""))</f>
        <v/>
      </c>
      <c r="D93" s="14" t="n"/>
      <c r="E93" s="10" t="n"/>
      <c r="F93" s="18" t="n"/>
      <c r="G93" s="18" t="n"/>
      <c r="H93" s="14" t="n"/>
      <c r="I93" s="14" t="n"/>
      <c r="J93" s="10" t="n"/>
      <c r="K93" s="15">
        <f>IF(OR(A93="",D93=""),"",D93-H93-I93)</f>
        <v/>
      </c>
      <c r="L93" s="12">
        <f>IF(K93="","",IF(K93&gt;0,"На руках",IF(I93&gt;0,IF(H93&gt;0,"Удержан частично","Удержан"),"Возвращён")))</f>
        <v/>
      </c>
      <c r="M93" s="10" t="n"/>
      <c r="N93" s="19">
        <f>IF(K93="","",IF(K93&gt;0,IFERROR(IF(INDEX(Брони!$F$2:$F$500,MATCH(A93,Брони!$A$2:$A$500,0))="Возвращена",TODAY()-INT(INDEX(Брони!$E$2:$E$500,MATCH(A93,Брони!$A$2:$A$500,0))),""),""),""))</f>
        <v/>
      </c>
      <c r="O93" s="19">
        <f>IF(OR(N93="",Настройки!$B$8=""),"",IF(N93&gt;Настройки!$B$8,1,""))</f>
        <v/>
      </c>
    </row>
    <row r="94">
      <c r="A94" s="9" t="n"/>
      <c r="B94" s="12">
        <f>IF(A94="","",IFERROR(INDEX(Брони!$C$2:$C$500,MATCH(A94,Брони!$A$2:$A$500,0)),""))</f>
        <v/>
      </c>
      <c r="C94" s="12">
        <f>IF(A94="","",IFERROR(INDEX(Брони!$B$2:$B$500,MATCH(A94,Брони!$A$2:$A$500,0)),""))</f>
        <v/>
      </c>
      <c r="D94" s="14" t="n"/>
      <c r="E94" s="10" t="n"/>
      <c r="F94" s="18" t="n"/>
      <c r="G94" s="18" t="n"/>
      <c r="H94" s="14" t="n"/>
      <c r="I94" s="14" t="n"/>
      <c r="J94" s="10" t="n"/>
      <c r="K94" s="15">
        <f>IF(OR(A94="",D94=""),"",D94-H94-I94)</f>
        <v/>
      </c>
      <c r="L94" s="12">
        <f>IF(K94="","",IF(K94&gt;0,"На руках",IF(I94&gt;0,IF(H94&gt;0,"Удержан частично","Удержан"),"Возвращён")))</f>
        <v/>
      </c>
      <c r="M94" s="10" t="n"/>
      <c r="N94" s="19">
        <f>IF(K94="","",IF(K94&gt;0,IFERROR(IF(INDEX(Брони!$F$2:$F$500,MATCH(A94,Брони!$A$2:$A$500,0))="Возвращена",TODAY()-INT(INDEX(Брони!$E$2:$E$500,MATCH(A94,Брони!$A$2:$A$500,0))),""),""),""))</f>
        <v/>
      </c>
      <c r="O94" s="19">
        <f>IF(OR(N94="",Настройки!$B$8=""),"",IF(N94&gt;Настройки!$B$8,1,""))</f>
        <v/>
      </c>
    </row>
    <row r="95">
      <c r="A95" s="9" t="n"/>
      <c r="B95" s="12">
        <f>IF(A95="","",IFERROR(INDEX(Брони!$C$2:$C$500,MATCH(A95,Брони!$A$2:$A$500,0)),""))</f>
        <v/>
      </c>
      <c r="C95" s="12">
        <f>IF(A95="","",IFERROR(INDEX(Брони!$B$2:$B$500,MATCH(A95,Брони!$A$2:$A$500,0)),""))</f>
        <v/>
      </c>
      <c r="D95" s="14" t="n"/>
      <c r="E95" s="10" t="n"/>
      <c r="F95" s="18" t="n"/>
      <c r="G95" s="18" t="n"/>
      <c r="H95" s="14" t="n"/>
      <c r="I95" s="14" t="n"/>
      <c r="J95" s="10" t="n"/>
      <c r="K95" s="15">
        <f>IF(OR(A95="",D95=""),"",D95-H95-I95)</f>
        <v/>
      </c>
      <c r="L95" s="12">
        <f>IF(K95="","",IF(K95&gt;0,"На руках",IF(I95&gt;0,IF(H95&gt;0,"Удержан частично","Удержан"),"Возвращён")))</f>
        <v/>
      </c>
      <c r="M95" s="10" t="n"/>
      <c r="N95" s="19">
        <f>IF(K95="","",IF(K95&gt;0,IFERROR(IF(INDEX(Брони!$F$2:$F$500,MATCH(A95,Брони!$A$2:$A$500,0))="Возвращена",TODAY()-INT(INDEX(Брони!$E$2:$E$500,MATCH(A95,Брони!$A$2:$A$500,0))),""),""),""))</f>
        <v/>
      </c>
      <c r="O95" s="19">
        <f>IF(OR(N95="",Настройки!$B$8=""),"",IF(N95&gt;Настройки!$B$8,1,""))</f>
        <v/>
      </c>
    </row>
    <row r="96">
      <c r="A96" s="9" t="n"/>
      <c r="B96" s="12">
        <f>IF(A96="","",IFERROR(INDEX(Брони!$C$2:$C$500,MATCH(A96,Брони!$A$2:$A$500,0)),""))</f>
        <v/>
      </c>
      <c r="C96" s="12">
        <f>IF(A96="","",IFERROR(INDEX(Брони!$B$2:$B$500,MATCH(A96,Брони!$A$2:$A$500,0)),""))</f>
        <v/>
      </c>
      <c r="D96" s="14" t="n"/>
      <c r="E96" s="10" t="n"/>
      <c r="F96" s="18" t="n"/>
      <c r="G96" s="18" t="n"/>
      <c r="H96" s="14" t="n"/>
      <c r="I96" s="14" t="n"/>
      <c r="J96" s="10" t="n"/>
      <c r="K96" s="15">
        <f>IF(OR(A96="",D96=""),"",D96-H96-I96)</f>
        <v/>
      </c>
      <c r="L96" s="12">
        <f>IF(K96="","",IF(K96&gt;0,"На руках",IF(I96&gt;0,IF(H96&gt;0,"Удержан частично","Удержан"),"Возвращён")))</f>
        <v/>
      </c>
      <c r="M96" s="10" t="n"/>
      <c r="N96" s="19">
        <f>IF(K96="","",IF(K96&gt;0,IFERROR(IF(INDEX(Брони!$F$2:$F$500,MATCH(A96,Брони!$A$2:$A$500,0))="Возвращена",TODAY()-INT(INDEX(Брони!$E$2:$E$500,MATCH(A96,Брони!$A$2:$A$500,0))),""),""),""))</f>
        <v/>
      </c>
      <c r="O96" s="19">
        <f>IF(OR(N96="",Настройки!$B$8=""),"",IF(N96&gt;Настройки!$B$8,1,""))</f>
        <v/>
      </c>
    </row>
    <row r="97">
      <c r="A97" s="9" t="n"/>
      <c r="B97" s="12">
        <f>IF(A97="","",IFERROR(INDEX(Брони!$C$2:$C$500,MATCH(A97,Брони!$A$2:$A$500,0)),""))</f>
        <v/>
      </c>
      <c r="C97" s="12">
        <f>IF(A97="","",IFERROR(INDEX(Брони!$B$2:$B$500,MATCH(A97,Брони!$A$2:$A$500,0)),""))</f>
        <v/>
      </c>
      <c r="D97" s="14" t="n"/>
      <c r="E97" s="10" t="n"/>
      <c r="F97" s="18" t="n"/>
      <c r="G97" s="18" t="n"/>
      <c r="H97" s="14" t="n"/>
      <c r="I97" s="14" t="n"/>
      <c r="J97" s="10" t="n"/>
      <c r="K97" s="15">
        <f>IF(OR(A97="",D97=""),"",D97-H97-I97)</f>
        <v/>
      </c>
      <c r="L97" s="12">
        <f>IF(K97="","",IF(K97&gt;0,"На руках",IF(I97&gt;0,IF(H97&gt;0,"Удержан частично","Удержан"),"Возвращён")))</f>
        <v/>
      </c>
      <c r="M97" s="10" t="n"/>
      <c r="N97" s="19">
        <f>IF(K97="","",IF(K97&gt;0,IFERROR(IF(INDEX(Брони!$F$2:$F$500,MATCH(A97,Брони!$A$2:$A$500,0))="Возвращена",TODAY()-INT(INDEX(Брони!$E$2:$E$500,MATCH(A97,Брони!$A$2:$A$500,0))),""),""),""))</f>
        <v/>
      </c>
      <c r="O97" s="19">
        <f>IF(OR(N97="",Настройки!$B$8=""),"",IF(N97&gt;Настройки!$B$8,1,""))</f>
        <v/>
      </c>
    </row>
    <row r="98">
      <c r="A98" s="9" t="n"/>
      <c r="B98" s="12">
        <f>IF(A98="","",IFERROR(INDEX(Брони!$C$2:$C$500,MATCH(A98,Брони!$A$2:$A$500,0)),""))</f>
        <v/>
      </c>
      <c r="C98" s="12">
        <f>IF(A98="","",IFERROR(INDEX(Брони!$B$2:$B$500,MATCH(A98,Брони!$A$2:$A$500,0)),""))</f>
        <v/>
      </c>
      <c r="D98" s="14" t="n"/>
      <c r="E98" s="10" t="n"/>
      <c r="F98" s="18" t="n"/>
      <c r="G98" s="18" t="n"/>
      <c r="H98" s="14" t="n"/>
      <c r="I98" s="14" t="n"/>
      <c r="J98" s="10" t="n"/>
      <c r="K98" s="15">
        <f>IF(OR(A98="",D98=""),"",D98-H98-I98)</f>
        <v/>
      </c>
      <c r="L98" s="12">
        <f>IF(K98="","",IF(K98&gt;0,"На руках",IF(I98&gt;0,IF(H98&gt;0,"Удержан частично","Удержан"),"Возвращён")))</f>
        <v/>
      </c>
      <c r="M98" s="10" t="n"/>
      <c r="N98" s="19">
        <f>IF(K98="","",IF(K98&gt;0,IFERROR(IF(INDEX(Брони!$F$2:$F$500,MATCH(A98,Брони!$A$2:$A$500,0))="Возвращена",TODAY()-INT(INDEX(Брони!$E$2:$E$500,MATCH(A98,Брони!$A$2:$A$500,0))),""),""),""))</f>
        <v/>
      </c>
      <c r="O98" s="19">
        <f>IF(OR(N98="",Настройки!$B$8=""),"",IF(N98&gt;Настройки!$B$8,1,""))</f>
        <v/>
      </c>
    </row>
    <row r="99">
      <c r="A99" s="9" t="n"/>
      <c r="B99" s="12">
        <f>IF(A99="","",IFERROR(INDEX(Брони!$C$2:$C$500,MATCH(A99,Брони!$A$2:$A$500,0)),""))</f>
        <v/>
      </c>
      <c r="C99" s="12">
        <f>IF(A99="","",IFERROR(INDEX(Брони!$B$2:$B$500,MATCH(A99,Брони!$A$2:$A$500,0)),""))</f>
        <v/>
      </c>
      <c r="D99" s="14" t="n"/>
      <c r="E99" s="10" t="n"/>
      <c r="F99" s="18" t="n"/>
      <c r="G99" s="18" t="n"/>
      <c r="H99" s="14" t="n"/>
      <c r="I99" s="14" t="n"/>
      <c r="J99" s="10" t="n"/>
      <c r="K99" s="15">
        <f>IF(OR(A99="",D99=""),"",D99-H99-I99)</f>
        <v/>
      </c>
      <c r="L99" s="12">
        <f>IF(K99="","",IF(K99&gt;0,"На руках",IF(I99&gt;0,IF(H99&gt;0,"Удержан частично","Удержан"),"Возвращён")))</f>
        <v/>
      </c>
      <c r="M99" s="10" t="n"/>
      <c r="N99" s="19">
        <f>IF(K99="","",IF(K99&gt;0,IFERROR(IF(INDEX(Брони!$F$2:$F$500,MATCH(A99,Брони!$A$2:$A$500,0))="Возвращена",TODAY()-INT(INDEX(Брони!$E$2:$E$500,MATCH(A99,Брони!$A$2:$A$500,0))),""),""),""))</f>
        <v/>
      </c>
      <c r="O99" s="19">
        <f>IF(OR(N99="",Настройки!$B$8=""),"",IF(N99&gt;Настройки!$B$8,1,""))</f>
        <v/>
      </c>
    </row>
    <row r="100">
      <c r="A100" s="9" t="n"/>
      <c r="B100" s="12">
        <f>IF(A100="","",IFERROR(INDEX(Брони!$C$2:$C$500,MATCH(A100,Брони!$A$2:$A$500,0)),""))</f>
        <v/>
      </c>
      <c r="C100" s="12">
        <f>IF(A100="","",IFERROR(INDEX(Брони!$B$2:$B$500,MATCH(A100,Брони!$A$2:$A$500,0)),""))</f>
        <v/>
      </c>
      <c r="D100" s="14" t="n"/>
      <c r="E100" s="10" t="n"/>
      <c r="F100" s="18" t="n"/>
      <c r="G100" s="18" t="n"/>
      <c r="H100" s="14" t="n"/>
      <c r="I100" s="14" t="n"/>
      <c r="J100" s="10" t="n"/>
      <c r="K100" s="15">
        <f>IF(OR(A100="",D100=""),"",D100-H100-I100)</f>
        <v/>
      </c>
      <c r="L100" s="12">
        <f>IF(K100="","",IF(K100&gt;0,"На руках",IF(I100&gt;0,IF(H100&gt;0,"Удержан частично","Удержан"),"Возвращён")))</f>
        <v/>
      </c>
      <c r="M100" s="10" t="n"/>
      <c r="N100" s="19">
        <f>IF(K100="","",IF(K100&gt;0,IFERROR(IF(INDEX(Брони!$F$2:$F$500,MATCH(A100,Брони!$A$2:$A$500,0))="Возвращена",TODAY()-INT(INDEX(Брони!$E$2:$E$500,MATCH(A100,Брони!$A$2:$A$500,0))),""),""),""))</f>
        <v/>
      </c>
      <c r="O100" s="19">
        <f>IF(OR(N100="",Настройки!$B$8=""),"",IF(N100&gt;Настройки!$B$8,1,""))</f>
        <v/>
      </c>
    </row>
    <row r="101">
      <c r="A101" s="9" t="n"/>
      <c r="B101" s="12">
        <f>IF(A101="","",IFERROR(INDEX(Брони!$C$2:$C$500,MATCH(A101,Брони!$A$2:$A$500,0)),""))</f>
        <v/>
      </c>
      <c r="C101" s="12">
        <f>IF(A101="","",IFERROR(INDEX(Брони!$B$2:$B$500,MATCH(A101,Брони!$A$2:$A$500,0)),""))</f>
        <v/>
      </c>
      <c r="D101" s="14" t="n"/>
      <c r="E101" s="10" t="n"/>
      <c r="F101" s="18" t="n"/>
      <c r="G101" s="18" t="n"/>
      <c r="H101" s="14" t="n"/>
      <c r="I101" s="14" t="n"/>
      <c r="J101" s="10" t="n"/>
      <c r="K101" s="15">
        <f>IF(OR(A101="",D101=""),"",D101-H101-I101)</f>
        <v/>
      </c>
      <c r="L101" s="12">
        <f>IF(K101="","",IF(K101&gt;0,"На руках",IF(I101&gt;0,IF(H101&gt;0,"Удержан частично","Удержан"),"Возвращён")))</f>
        <v/>
      </c>
      <c r="M101" s="10" t="n"/>
      <c r="N101" s="19">
        <f>IF(K101="","",IF(K101&gt;0,IFERROR(IF(INDEX(Брони!$F$2:$F$500,MATCH(A101,Брони!$A$2:$A$500,0))="Возвращена",TODAY()-INT(INDEX(Брони!$E$2:$E$500,MATCH(A101,Брони!$A$2:$A$500,0))),""),""),""))</f>
        <v/>
      </c>
      <c r="O101" s="19">
        <f>IF(OR(N101="",Настройки!$B$8=""),"",IF(N101&gt;Настройки!$B$8,1,""))</f>
        <v/>
      </c>
    </row>
    <row r="102">
      <c r="A102" s="9" t="n"/>
      <c r="B102" s="12">
        <f>IF(A102="","",IFERROR(INDEX(Брони!$C$2:$C$500,MATCH(A102,Брони!$A$2:$A$500,0)),""))</f>
        <v/>
      </c>
      <c r="C102" s="12">
        <f>IF(A102="","",IFERROR(INDEX(Брони!$B$2:$B$500,MATCH(A102,Брони!$A$2:$A$500,0)),""))</f>
        <v/>
      </c>
      <c r="D102" s="14" t="n"/>
      <c r="E102" s="10" t="n"/>
      <c r="F102" s="18" t="n"/>
      <c r="G102" s="18" t="n"/>
      <c r="H102" s="14" t="n"/>
      <c r="I102" s="14" t="n"/>
      <c r="J102" s="10" t="n"/>
      <c r="K102" s="15">
        <f>IF(OR(A102="",D102=""),"",D102-H102-I102)</f>
        <v/>
      </c>
      <c r="L102" s="12">
        <f>IF(K102="","",IF(K102&gt;0,"На руках",IF(I102&gt;0,IF(H102&gt;0,"Удержан частично","Удержан"),"Возвращён")))</f>
        <v/>
      </c>
      <c r="M102" s="10" t="n"/>
      <c r="N102" s="19">
        <f>IF(K102="","",IF(K102&gt;0,IFERROR(IF(INDEX(Брони!$F$2:$F$500,MATCH(A102,Брони!$A$2:$A$500,0))="Возвращена",TODAY()-INT(INDEX(Брони!$E$2:$E$500,MATCH(A102,Брони!$A$2:$A$500,0))),""),""),""))</f>
        <v/>
      </c>
      <c r="O102" s="19">
        <f>IF(OR(N102="",Настройки!$B$8=""),"",IF(N102&gt;Настройки!$B$8,1,""))</f>
        <v/>
      </c>
    </row>
    <row r="103">
      <c r="A103" s="9" t="n"/>
      <c r="B103" s="12">
        <f>IF(A103="","",IFERROR(INDEX(Брони!$C$2:$C$500,MATCH(A103,Брони!$A$2:$A$500,0)),""))</f>
        <v/>
      </c>
      <c r="C103" s="12">
        <f>IF(A103="","",IFERROR(INDEX(Брони!$B$2:$B$500,MATCH(A103,Брони!$A$2:$A$500,0)),""))</f>
        <v/>
      </c>
      <c r="D103" s="14" t="n"/>
      <c r="E103" s="10" t="n"/>
      <c r="F103" s="18" t="n"/>
      <c r="G103" s="18" t="n"/>
      <c r="H103" s="14" t="n"/>
      <c r="I103" s="14" t="n"/>
      <c r="J103" s="10" t="n"/>
      <c r="K103" s="15">
        <f>IF(OR(A103="",D103=""),"",D103-H103-I103)</f>
        <v/>
      </c>
      <c r="L103" s="12">
        <f>IF(K103="","",IF(K103&gt;0,"На руках",IF(I103&gt;0,IF(H103&gt;0,"Удержан частично","Удержан"),"Возвращён")))</f>
        <v/>
      </c>
      <c r="M103" s="10" t="n"/>
      <c r="N103" s="19">
        <f>IF(K103="","",IF(K103&gt;0,IFERROR(IF(INDEX(Брони!$F$2:$F$500,MATCH(A103,Брони!$A$2:$A$500,0))="Возвращена",TODAY()-INT(INDEX(Брони!$E$2:$E$500,MATCH(A103,Брони!$A$2:$A$500,0))),""),""),""))</f>
        <v/>
      </c>
      <c r="O103" s="19">
        <f>IF(OR(N103="",Настройки!$B$8=""),"",IF(N103&gt;Настройки!$B$8,1,""))</f>
        <v/>
      </c>
    </row>
    <row r="104">
      <c r="A104" s="9" t="n"/>
      <c r="B104" s="12">
        <f>IF(A104="","",IFERROR(INDEX(Брони!$C$2:$C$500,MATCH(A104,Брони!$A$2:$A$500,0)),""))</f>
        <v/>
      </c>
      <c r="C104" s="12">
        <f>IF(A104="","",IFERROR(INDEX(Брони!$B$2:$B$500,MATCH(A104,Брони!$A$2:$A$500,0)),""))</f>
        <v/>
      </c>
      <c r="D104" s="14" t="n"/>
      <c r="E104" s="10" t="n"/>
      <c r="F104" s="18" t="n"/>
      <c r="G104" s="18" t="n"/>
      <c r="H104" s="14" t="n"/>
      <c r="I104" s="14" t="n"/>
      <c r="J104" s="10" t="n"/>
      <c r="K104" s="15">
        <f>IF(OR(A104="",D104=""),"",D104-H104-I104)</f>
        <v/>
      </c>
      <c r="L104" s="12">
        <f>IF(K104="","",IF(K104&gt;0,"На руках",IF(I104&gt;0,IF(H104&gt;0,"Удержан частично","Удержан"),"Возвращён")))</f>
        <v/>
      </c>
      <c r="M104" s="10" t="n"/>
      <c r="N104" s="19">
        <f>IF(K104="","",IF(K104&gt;0,IFERROR(IF(INDEX(Брони!$F$2:$F$500,MATCH(A104,Брони!$A$2:$A$500,0))="Возвращена",TODAY()-INT(INDEX(Брони!$E$2:$E$500,MATCH(A104,Брони!$A$2:$A$500,0))),""),""),""))</f>
        <v/>
      </c>
      <c r="O104" s="19">
        <f>IF(OR(N104="",Настройки!$B$8=""),"",IF(N104&gt;Настройки!$B$8,1,""))</f>
        <v/>
      </c>
    </row>
    <row r="105">
      <c r="A105" s="9" t="n"/>
      <c r="B105" s="12">
        <f>IF(A105="","",IFERROR(INDEX(Брони!$C$2:$C$500,MATCH(A105,Брони!$A$2:$A$500,0)),""))</f>
        <v/>
      </c>
      <c r="C105" s="12">
        <f>IF(A105="","",IFERROR(INDEX(Брони!$B$2:$B$500,MATCH(A105,Брони!$A$2:$A$500,0)),""))</f>
        <v/>
      </c>
      <c r="D105" s="14" t="n"/>
      <c r="E105" s="10" t="n"/>
      <c r="F105" s="18" t="n"/>
      <c r="G105" s="18" t="n"/>
      <c r="H105" s="14" t="n"/>
      <c r="I105" s="14" t="n"/>
      <c r="J105" s="10" t="n"/>
      <c r="K105" s="15">
        <f>IF(OR(A105="",D105=""),"",D105-H105-I105)</f>
        <v/>
      </c>
      <c r="L105" s="12">
        <f>IF(K105="","",IF(K105&gt;0,"На руках",IF(I105&gt;0,IF(H105&gt;0,"Удержан частично","Удержан"),"Возвращён")))</f>
        <v/>
      </c>
      <c r="M105" s="10" t="n"/>
      <c r="N105" s="19">
        <f>IF(K105="","",IF(K105&gt;0,IFERROR(IF(INDEX(Брони!$F$2:$F$500,MATCH(A105,Брони!$A$2:$A$500,0))="Возвращена",TODAY()-INT(INDEX(Брони!$E$2:$E$500,MATCH(A105,Брони!$A$2:$A$500,0))),""),""),""))</f>
        <v/>
      </c>
      <c r="O105" s="19">
        <f>IF(OR(N105="",Настройки!$B$8=""),"",IF(N105&gt;Настройки!$B$8,1,""))</f>
        <v/>
      </c>
    </row>
    <row r="106">
      <c r="A106" s="9" t="n"/>
      <c r="B106" s="12">
        <f>IF(A106="","",IFERROR(INDEX(Брони!$C$2:$C$500,MATCH(A106,Брони!$A$2:$A$500,0)),""))</f>
        <v/>
      </c>
      <c r="C106" s="12">
        <f>IF(A106="","",IFERROR(INDEX(Брони!$B$2:$B$500,MATCH(A106,Брони!$A$2:$A$500,0)),""))</f>
        <v/>
      </c>
      <c r="D106" s="14" t="n"/>
      <c r="E106" s="10" t="n"/>
      <c r="F106" s="18" t="n"/>
      <c r="G106" s="18" t="n"/>
      <c r="H106" s="14" t="n"/>
      <c r="I106" s="14" t="n"/>
      <c r="J106" s="10" t="n"/>
      <c r="K106" s="15">
        <f>IF(OR(A106="",D106=""),"",D106-H106-I106)</f>
        <v/>
      </c>
      <c r="L106" s="12">
        <f>IF(K106="","",IF(K106&gt;0,"На руках",IF(I106&gt;0,IF(H106&gt;0,"Удержан частично","Удержан"),"Возвращён")))</f>
        <v/>
      </c>
      <c r="M106" s="10" t="n"/>
      <c r="N106" s="19">
        <f>IF(K106="","",IF(K106&gt;0,IFERROR(IF(INDEX(Брони!$F$2:$F$500,MATCH(A106,Брони!$A$2:$A$500,0))="Возвращена",TODAY()-INT(INDEX(Брони!$E$2:$E$500,MATCH(A106,Брони!$A$2:$A$500,0))),""),""),""))</f>
        <v/>
      </c>
      <c r="O106" s="19">
        <f>IF(OR(N106="",Настройки!$B$8=""),"",IF(N106&gt;Настройки!$B$8,1,""))</f>
        <v/>
      </c>
    </row>
    <row r="107">
      <c r="A107" s="9" t="n"/>
      <c r="B107" s="12">
        <f>IF(A107="","",IFERROR(INDEX(Брони!$C$2:$C$500,MATCH(A107,Брони!$A$2:$A$500,0)),""))</f>
        <v/>
      </c>
      <c r="C107" s="12">
        <f>IF(A107="","",IFERROR(INDEX(Брони!$B$2:$B$500,MATCH(A107,Брони!$A$2:$A$500,0)),""))</f>
        <v/>
      </c>
      <c r="D107" s="14" t="n"/>
      <c r="E107" s="10" t="n"/>
      <c r="F107" s="18" t="n"/>
      <c r="G107" s="18" t="n"/>
      <c r="H107" s="14" t="n"/>
      <c r="I107" s="14" t="n"/>
      <c r="J107" s="10" t="n"/>
      <c r="K107" s="15">
        <f>IF(OR(A107="",D107=""),"",D107-H107-I107)</f>
        <v/>
      </c>
      <c r="L107" s="12">
        <f>IF(K107="","",IF(K107&gt;0,"На руках",IF(I107&gt;0,IF(H107&gt;0,"Удержан частично","Удержан"),"Возвращён")))</f>
        <v/>
      </c>
      <c r="M107" s="10" t="n"/>
      <c r="N107" s="19">
        <f>IF(K107="","",IF(K107&gt;0,IFERROR(IF(INDEX(Брони!$F$2:$F$500,MATCH(A107,Брони!$A$2:$A$500,0))="Возвращена",TODAY()-INT(INDEX(Брони!$E$2:$E$500,MATCH(A107,Брони!$A$2:$A$500,0))),""),""),""))</f>
        <v/>
      </c>
      <c r="O107" s="19">
        <f>IF(OR(N107="",Настройки!$B$8=""),"",IF(N107&gt;Настройки!$B$8,1,""))</f>
        <v/>
      </c>
    </row>
    <row r="108">
      <c r="A108" s="9" t="n"/>
      <c r="B108" s="12">
        <f>IF(A108="","",IFERROR(INDEX(Брони!$C$2:$C$500,MATCH(A108,Брони!$A$2:$A$500,0)),""))</f>
        <v/>
      </c>
      <c r="C108" s="12">
        <f>IF(A108="","",IFERROR(INDEX(Брони!$B$2:$B$500,MATCH(A108,Брони!$A$2:$A$500,0)),""))</f>
        <v/>
      </c>
      <c r="D108" s="14" t="n"/>
      <c r="E108" s="10" t="n"/>
      <c r="F108" s="18" t="n"/>
      <c r="G108" s="18" t="n"/>
      <c r="H108" s="14" t="n"/>
      <c r="I108" s="14" t="n"/>
      <c r="J108" s="10" t="n"/>
      <c r="K108" s="15">
        <f>IF(OR(A108="",D108=""),"",D108-H108-I108)</f>
        <v/>
      </c>
      <c r="L108" s="12">
        <f>IF(K108="","",IF(K108&gt;0,"На руках",IF(I108&gt;0,IF(H108&gt;0,"Удержан частично","Удержан"),"Возвращён")))</f>
        <v/>
      </c>
      <c r="M108" s="10" t="n"/>
      <c r="N108" s="19">
        <f>IF(K108="","",IF(K108&gt;0,IFERROR(IF(INDEX(Брони!$F$2:$F$500,MATCH(A108,Брони!$A$2:$A$500,0))="Возвращена",TODAY()-INT(INDEX(Брони!$E$2:$E$500,MATCH(A108,Брони!$A$2:$A$500,0))),""),""),""))</f>
        <v/>
      </c>
      <c r="O108" s="19">
        <f>IF(OR(N108="",Настройки!$B$8=""),"",IF(N108&gt;Настройки!$B$8,1,""))</f>
        <v/>
      </c>
    </row>
    <row r="109">
      <c r="A109" s="9" t="n"/>
      <c r="B109" s="12">
        <f>IF(A109="","",IFERROR(INDEX(Брони!$C$2:$C$500,MATCH(A109,Брони!$A$2:$A$500,0)),""))</f>
        <v/>
      </c>
      <c r="C109" s="12">
        <f>IF(A109="","",IFERROR(INDEX(Брони!$B$2:$B$500,MATCH(A109,Брони!$A$2:$A$500,0)),""))</f>
        <v/>
      </c>
      <c r="D109" s="14" t="n"/>
      <c r="E109" s="10" t="n"/>
      <c r="F109" s="18" t="n"/>
      <c r="G109" s="18" t="n"/>
      <c r="H109" s="14" t="n"/>
      <c r="I109" s="14" t="n"/>
      <c r="J109" s="10" t="n"/>
      <c r="K109" s="15">
        <f>IF(OR(A109="",D109=""),"",D109-H109-I109)</f>
        <v/>
      </c>
      <c r="L109" s="12">
        <f>IF(K109="","",IF(K109&gt;0,"На руках",IF(I109&gt;0,IF(H109&gt;0,"Удержан частично","Удержан"),"Возвращён")))</f>
        <v/>
      </c>
      <c r="M109" s="10" t="n"/>
      <c r="N109" s="19">
        <f>IF(K109="","",IF(K109&gt;0,IFERROR(IF(INDEX(Брони!$F$2:$F$500,MATCH(A109,Брони!$A$2:$A$500,0))="Возвращена",TODAY()-INT(INDEX(Брони!$E$2:$E$500,MATCH(A109,Брони!$A$2:$A$500,0))),""),""),""))</f>
        <v/>
      </c>
      <c r="O109" s="19">
        <f>IF(OR(N109="",Настройки!$B$8=""),"",IF(N109&gt;Настройки!$B$8,1,""))</f>
        <v/>
      </c>
    </row>
    <row r="110">
      <c r="A110" s="9" t="n"/>
      <c r="B110" s="12">
        <f>IF(A110="","",IFERROR(INDEX(Брони!$C$2:$C$500,MATCH(A110,Брони!$A$2:$A$500,0)),""))</f>
        <v/>
      </c>
      <c r="C110" s="12">
        <f>IF(A110="","",IFERROR(INDEX(Брони!$B$2:$B$500,MATCH(A110,Брони!$A$2:$A$500,0)),""))</f>
        <v/>
      </c>
      <c r="D110" s="14" t="n"/>
      <c r="E110" s="10" t="n"/>
      <c r="F110" s="18" t="n"/>
      <c r="G110" s="18" t="n"/>
      <c r="H110" s="14" t="n"/>
      <c r="I110" s="14" t="n"/>
      <c r="J110" s="10" t="n"/>
      <c r="K110" s="15">
        <f>IF(OR(A110="",D110=""),"",D110-H110-I110)</f>
        <v/>
      </c>
      <c r="L110" s="12">
        <f>IF(K110="","",IF(K110&gt;0,"На руках",IF(I110&gt;0,IF(H110&gt;0,"Удержан частично","Удержан"),"Возвращён")))</f>
        <v/>
      </c>
      <c r="M110" s="10" t="n"/>
      <c r="N110" s="19">
        <f>IF(K110="","",IF(K110&gt;0,IFERROR(IF(INDEX(Брони!$F$2:$F$500,MATCH(A110,Брони!$A$2:$A$500,0))="Возвращена",TODAY()-INT(INDEX(Брони!$E$2:$E$500,MATCH(A110,Брони!$A$2:$A$500,0))),""),""),""))</f>
        <v/>
      </c>
      <c r="O110" s="19">
        <f>IF(OR(N110="",Настройки!$B$8=""),"",IF(N110&gt;Настройки!$B$8,1,""))</f>
        <v/>
      </c>
    </row>
    <row r="111">
      <c r="A111" s="9" t="n"/>
      <c r="B111" s="12">
        <f>IF(A111="","",IFERROR(INDEX(Брони!$C$2:$C$500,MATCH(A111,Брони!$A$2:$A$500,0)),""))</f>
        <v/>
      </c>
      <c r="C111" s="12">
        <f>IF(A111="","",IFERROR(INDEX(Брони!$B$2:$B$500,MATCH(A111,Брони!$A$2:$A$500,0)),""))</f>
        <v/>
      </c>
      <c r="D111" s="14" t="n"/>
      <c r="E111" s="10" t="n"/>
      <c r="F111" s="18" t="n"/>
      <c r="G111" s="18" t="n"/>
      <c r="H111" s="14" t="n"/>
      <c r="I111" s="14" t="n"/>
      <c r="J111" s="10" t="n"/>
      <c r="K111" s="15">
        <f>IF(OR(A111="",D111=""),"",D111-H111-I111)</f>
        <v/>
      </c>
      <c r="L111" s="12">
        <f>IF(K111="","",IF(K111&gt;0,"На руках",IF(I111&gt;0,IF(H111&gt;0,"Удержан частично","Удержан"),"Возвращён")))</f>
        <v/>
      </c>
      <c r="M111" s="10" t="n"/>
      <c r="N111" s="19">
        <f>IF(K111="","",IF(K111&gt;0,IFERROR(IF(INDEX(Брони!$F$2:$F$500,MATCH(A111,Брони!$A$2:$A$500,0))="Возвращена",TODAY()-INT(INDEX(Брони!$E$2:$E$500,MATCH(A111,Брони!$A$2:$A$500,0))),""),""),""))</f>
        <v/>
      </c>
      <c r="O111" s="19">
        <f>IF(OR(N111="",Настройки!$B$8=""),"",IF(N111&gt;Настройки!$B$8,1,""))</f>
        <v/>
      </c>
    </row>
    <row r="112">
      <c r="A112" s="9" t="n"/>
      <c r="B112" s="12">
        <f>IF(A112="","",IFERROR(INDEX(Брони!$C$2:$C$500,MATCH(A112,Брони!$A$2:$A$500,0)),""))</f>
        <v/>
      </c>
      <c r="C112" s="12">
        <f>IF(A112="","",IFERROR(INDEX(Брони!$B$2:$B$500,MATCH(A112,Брони!$A$2:$A$500,0)),""))</f>
        <v/>
      </c>
      <c r="D112" s="14" t="n"/>
      <c r="E112" s="10" t="n"/>
      <c r="F112" s="18" t="n"/>
      <c r="G112" s="18" t="n"/>
      <c r="H112" s="14" t="n"/>
      <c r="I112" s="14" t="n"/>
      <c r="J112" s="10" t="n"/>
      <c r="K112" s="15">
        <f>IF(OR(A112="",D112=""),"",D112-H112-I112)</f>
        <v/>
      </c>
      <c r="L112" s="12">
        <f>IF(K112="","",IF(K112&gt;0,"На руках",IF(I112&gt;0,IF(H112&gt;0,"Удержан частично","Удержан"),"Возвращён")))</f>
        <v/>
      </c>
      <c r="M112" s="10" t="n"/>
      <c r="N112" s="19">
        <f>IF(K112="","",IF(K112&gt;0,IFERROR(IF(INDEX(Брони!$F$2:$F$500,MATCH(A112,Брони!$A$2:$A$500,0))="Возвращена",TODAY()-INT(INDEX(Брони!$E$2:$E$500,MATCH(A112,Брони!$A$2:$A$500,0))),""),""),""))</f>
        <v/>
      </c>
      <c r="O112" s="19">
        <f>IF(OR(N112="",Настройки!$B$8=""),"",IF(N112&gt;Настройки!$B$8,1,""))</f>
        <v/>
      </c>
    </row>
    <row r="113">
      <c r="A113" s="9" t="n"/>
      <c r="B113" s="12">
        <f>IF(A113="","",IFERROR(INDEX(Брони!$C$2:$C$500,MATCH(A113,Брони!$A$2:$A$500,0)),""))</f>
        <v/>
      </c>
      <c r="C113" s="12">
        <f>IF(A113="","",IFERROR(INDEX(Брони!$B$2:$B$500,MATCH(A113,Брони!$A$2:$A$500,0)),""))</f>
        <v/>
      </c>
      <c r="D113" s="14" t="n"/>
      <c r="E113" s="10" t="n"/>
      <c r="F113" s="18" t="n"/>
      <c r="G113" s="18" t="n"/>
      <c r="H113" s="14" t="n"/>
      <c r="I113" s="14" t="n"/>
      <c r="J113" s="10" t="n"/>
      <c r="K113" s="15">
        <f>IF(OR(A113="",D113=""),"",D113-H113-I113)</f>
        <v/>
      </c>
      <c r="L113" s="12">
        <f>IF(K113="","",IF(K113&gt;0,"На руках",IF(I113&gt;0,IF(H113&gt;0,"Удержан частично","Удержан"),"Возвращён")))</f>
        <v/>
      </c>
      <c r="M113" s="10" t="n"/>
      <c r="N113" s="19">
        <f>IF(K113="","",IF(K113&gt;0,IFERROR(IF(INDEX(Брони!$F$2:$F$500,MATCH(A113,Брони!$A$2:$A$500,0))="Возвращена",TODAY()-INT(INDEX(Брони!$E$2:$E$500,MATCH(A113,Брони!$A$2:$A$500,0))),""),""),""))</f>
        <v/>
      </c>
      <c r="O113" s="19">
        <f>IF(OR(N113="",Настройки!$B$8=""),"",IF(N113&gt;Настройки!$B$8,1,""))</f>
        <v/>
      </c>
    </row>
    <row r="114">
      <c r="A114" s="9" t="n"/>
      <c r="B114" s="12">
        <f>IF(A114="","",IFERROR(INDEX(Брони!$C$2:$C$500,MATCH(A114,Брони!$A$2:$A$500,0)),""))</f>
        <v/>
      </c>
      <c r="C114" s="12">
        <f>IF(A114="","",IFERROR(INDEX(Брони!$B$2:$B$500,MATCH(A114,Брони!$A$2:$A$500,0)),""))</f>
        <v/>
      </c>
      <c r="D114" s="14" t="n"/>
      <c r="E114" s="10" t="n"/>
      <c r="F114" s="18" t="n"/>
      <c r="G114" s="18" t="n"/>
      <c r="H114" s="14" t="n"/>
      <c r="I114" s="14" t="n"/>
      <c r="J114" s="10" t="n"/>
      <c r="K114" s="15">
        <f>IF(OR(A114="",D114=""),"",D114-H114-I114)</f>
        <v/>
      </c>
      <c r="L114" s="12">
        <f>IF(K114="","",IF(K114&gt;0,"На руках",IF(I114&gt;0,IF(H114&gt;0,"Удержан частично","Удержан"),"Возвращён")))</f>
        <v/>
      </c>
      <c r="M114" s="10" t="n"/>
      <c r="N114" s="19">
        <f>IF(K114="","",IF(K114&gt;0,IFERROR(IF(INDEX(Брони!$F$2:$F$500,MATCH(A114,Брони!$A$2:$A$500,0))="Возвращена",TODAY()-INT(INDEX(Брони!$E$2:$E$500,MATCH(A114,Брони!$A$2:$A$500,0))),""),""),""))</f>
        <v/>
      </c>
      <c r="O114" s="19">
        <f>IF(OR(N114="",Настройки!$B$8=""),"",IF(N114&gt;Настройки!$B$8,1,""))</f>
        <v/>
      </c>
    </row>
    <row r="115">
      <c r="A115" s="9" t="n"/>
      <c r="B115" s="12">
        <f>IF(A115="","",IFERROR(INDEX(Брони!$C$2:$C$500,MATCH(A115,Брони!$A$2:$A$500,0)),""))</f>
        <v/>
      </c>
      <c r="C115" s="12">
        <f>IF(A115="","",IFERROR(INDEX(Брони!$B$2:$B$500,MATCH(A115,Брони!$A$2:$A$500,0)),""))</f>
        <v/>
      </c>
      <c r="D115" s="14" t="n"/>
      <c r="E115" s="10" t="n"/>
      <c r="F115" s="18" t="n"/>
      <c r="G115" s="18" t="n"/>
      <c r="H115" s="14" t="n"/>
      <c r="I115" s="14" t="n"/>
      <c r="J115" s="10" t="n"/>
      <c r="K115" s="15">
        <f>IF(OR(A115="",D115=""),"",D115-H115-I115)</f>
        <v/>
      </c>
      <c r="L115" s="12">
        <f>IF(K115="","",IF(K115&gt;0,"На руках",IF(I115&gt;0,IF(H115&gt;0,"Удержан частично","Удержан"),"Возвращён")))</f>
        <v/>
      </c>
      <c r="M115" s="10" t="n"/>
      <c r="N115" s="19">
        <f>IF(K115="","",IF(K115&gt;0,IFERROR(IF(INDEX(Брони!$F$2:$F$500,MATCH(A115,Брони!$A$2:$A$500,0))="Возвращена",TODAY()-INT(INDEX(Брони!$E$2:$E$500,MATCH(A115,Брони!$A$2:$A$500,0))),""),""),""))</f>
        <v/>
      </c>
      <c r="O115" s="19">
        <f>IF(OR(N115="",Настройки!$B$8=""),"",IF(N115&gt;Настройки!$B$8,1,""))</f>
        <v/>
      </c>
    </row>
    <row r="116">
      <c r="A116" s="9" t="n"/>
      <c r="B116" s="12">
        <f>IF(A116="","",IFERROR(INDEX(Брони!$C$2:$C$500,MATCH(A116,Брони!$A$2:$A$500,0)),""))</f>
        <v/>
      </c>
      <c r="C116" s="12">
        <f>IF(A116="","",IFERROR(INDEX(Брони!$B$2:$B$500,MATCH(A116,Брони!$A$2:$A$500,0)),""))</f>
        <v/>
      </c>
      <c r="D116" s="14" t="n"/>
      <c r="E116" s="10" t="n"/>
      <c r="F116" s="18" t="n"/>
      <c r="G116" s="18" t="n"/>
      <c r="H116" s="14" t="n"/>
      <c r="I116" s="14" t="n"/>
      <c r="J116" s="10" t="n"/>
      <c r="K116" s="15">
        <f>IF(OR(A116="",D116=""),"",D116-H116-I116)</f>
        <v/>
      </c>
      <c r="L116" s="12">
        <f>IF(K116="","",IF(K116&gt;0,"На руках",IF(I116&gt;0,IF(H116&gt;0,"Удержан частично","Удержан"),"Возвращён")))</f>
        <v/>
      </c>
      <c r="M116" s="10" t="n"/>
      <c r="N116" s="19">
        <f>IF(K116="","",IF(K116&gt;0,IFERROR(IF(INDEX(Брони!$F$2:$F$500,MATCH(A116,Брони!$A$2:$A$500,0))="Возвращена",TODAY()-INT(INDEX(Брони!$E$2:$E$500,MATCH(A116,Брони!$A$2:$A$500,0))),""),""),""))</f>
        <v/>
      </c>
      <c r="O116" s="19">
        <f>IF(OR(N116="",Настройки!$B$8=""),"",IF(N116&gt;Настройки!$B$8,1,""))</f>
        <v/>
      </c>
    </row>
    <row r="117">
      <c r="A117" s="9" t="n"/>
      <c r="B117" s="12">
        <f>IF(A117="","",IFERROR(INDEX(Брони!$C$2:$C$500,MATCH(A117,Брони!$A$2:$A$500,0)),""))</f>
        <v/>
      </c>
      <c r="C117" s="12">
        <f>IF(A117="","",IFERROR(INDEX(Брони!$B$2:$B$500,MATCH(A117,Брони!$A$2:$A$500,0)),""))</f>
        <v/>
      </c>
      <c r="D117" s="14" t="n"/>
      <c r="E117" s="10" t="n"/>
      <c r="F117" s="18" t="n"/>
      <c r="G117" s="18" t="n"/>
      <c r="H117" s="14" t="n"/>
      <c r="I117" s="14" t="n"/>
      <c r="J117" s="10" t="n"/>
      <c r="K117" s="15">
        <f>IF(OR(A117="",D117=""),"",D117-H117-I117)</f>
        <v/>
      </c>
      <c r="L117" s="12">
        <f>IF(K117="","",IF(K117&gt;0,"На руках",IF(I117&gt;0,IF(H117&gt;0,"Удержан частично","Удержан"),"Возвращён")))</f>
        <v/>
      </c>
      <c r="M117" s="10" t="n"/>
      <c r="N117" s="19">
        <f>IF(K117="","",IF(K117&gt;0,IFERROR(IF(INDEX(Брони!$F$2:$F$500,MATCH(A117,Брони!$A$2:$A$500,0))="Возвращена",TODAY()-INT(INDEX(Брони!$E$2:$E$500,MATCH(A117,Брони!$A$2:$A$500,0))),""),""),""))</f>
        <v/>
      </c>
      <c r="O117" s="19">
        <f>IF(OR(N117="",Настройки!$B$8=""),"",IF(N117&gt;Настройки!$B$8,1,""))</f>
        <v/>
      </c>
    </row>
    <row r="118">
      <c r="A118" s="9" t="n"/>
      <c r="B118" s="12">
        <f>IF(A118="","",IFERROR(INDEX(Брони!$C$2:$C$500,MATCH(A118,Брони!$A$2:$A$500,0)),""))</f>
        <v/>
      </c>
      <c r="C118" s="12">
        <f>IF(A118="","",IFERROR(INDEX(Брони!$B$2:$B$500,MATCH(A118,Брони!$A$2:$A$500,0)),""))</f>
        <v/>
      </c>
      <c r="D118" s="14" t="n"/>
      <c r="E118" s="10" t="n"/>
      <c r="F118" s="18" t="n"/>
      <c r="G118" s="18" t="n"/>
      <c r="H118" s="14" t="n"/>
      <c r="I118" s="14" t="n"/>
      <c r="J118" s="10" t="n"/>
      <c r="K118" s="15">
        <f>IF(OR(A118="",D118=""),"",D118-H118-I118)</f>
        <v/>
      </c>
      <c r="L118" s="12">
        <f>IF(K118="","",IF(K118&gt;0,"На руках",IF(I118&gt;0,IF(H118&gt;0,"Удержан частично","Удержан"),"Возвращён")))</f>
        <v/>
      </c>
      <c r="M118" s="10" t="n"/>
      <c r="N118" s="19">
        <f>IF(K118="","",IF(K118&gt;0,IFERROR(IF(INDEX(Брони!$F$2:$F$500,MATCH(A118,Брони!$A$2:$A$500,0))="Возвращена",TODAY()-INT(INDEX(Брони!$E$2:$E$500,MATCH(A118,Брони!$A$2:$A$500,0))),""),""),""))</f>
        <v/>
      </c>
      <c r="O118" s="19">
        <f>IF(OR(N118="",Настройки!$B$8=""),"",IF(N118&gt;Настройки!$B$8,1,""))</f>
        <v/>
      </c>
    </row>
    <row r="119">
      <c r="A119" s="9" t="n"/>
      <c r="B119" s="12">
        <f>IF(A119="","",IFERROR(INDEX(Брони!$C$2:$C$500,MATCH(A119,Брони!$A$2:$A$500,0)),""))</f>
        <v/>
      </c>
      <c r="C119" s="12">
        <f>IF(A119="","",IFERROR(INDEX(Брони!$B$2:$B$500,MATCH(A119,Брони!$A$2:$A$500,0)),""))</f>
        <v/>
      </c>
      <c r="D119" s="14" t="n"/>
      <c r="E119" s="10" t="n"/>
      <c r="F119" s="18" t="n"/>
      <c r="G119" s="18" t="n"/>
      <c r="H119" s="14" t="n"/>
      <c r="I119" s="14" t="n"/>
      <c r="J119" s="10" t="n"/>
      <c r="K119" s="15">
        <f>IF(OR(A119="",D119=""),"",D119-H119-I119)</f>
        <v/>
      </c>
      <c r="L119" s="12">
        <f>IF(K119="","",IF(K119&gt;0,"На руках",IF(I119&gt;0,IF(H119&gt;0,"Удержан частично","Удержан"),"Возвращён")))</f>
        <v/>
      </c>
      <c r="M119" s="10" t="n"/>
      <c r="N119" s="19">
        <f>IF(K119="","",IF(K119&gt;0,IFERROR(IF(INDEX(Брони!$F$2:$F$500,MATCH(A119,Брони!$A$2:$A$500,0))="Возвращена",TODAY()-INT(INDEX(Брони!$E$2:$E$500,MATCH(A119,Брони!$A$2:$A$500,0))),""),""),""))</f>
        <v/>
      </c>
      <c r="O119" s="19">
        <f>IF(OR(N119="",Настройки!$B$8=""),"",IF(N119&gt;Настройки!$B$8,1,""))</f>
        <v/>
      </c>
    </row>
    <row r="120">
      <c r="A120" s="9" t="n"/>
      <c r="B120" s="12">
        <f>IF(A120="","",IFERROR(INDEX(Брони!$C$2:$C$500,MATCH(A120,Брони!$A$2:$A$500,0)),""))</f>
        <v/>
      </c>
      <c r="C120" s="12">
        <f>IF(A120="","",IFERROR(INDEX(Брони!$B$2:$B$500,MATCH(A120,Брони!$A$2:$A$500,0)),""))</f>
        <v/>
      </c>
      <c r="D120" s="14" t="n"/>
      <c r="E120" s="10" t="n"/>
      <c r="F120" s="18" t="n"/>
      <c r="G120" s="18" t="n"/>
      <c r="H120" s="14" t="n"/>
      <c r="I120" s="14" t="n"/>
      <c r="J120" s="10" t="n"/>
      <c r="K120" s="15">
        <f>IF(OR(A120="",D120=""),"",D120-H120-I120)</f>
        <v/>
      </c>
      <c r="L120" s="12">
        <f>IF(K120="","",IF(K120&gt;0,"На руках",IF(I120&gt;0,IF(H120&gt;0,"Удержан частично","Удержан"),"Возвращён")))</f>
        <v/>
      </c>
      <c r="M120" s="10" t="n"/>
      <c r="N120" s="19">
        <f>IF(K120="","",IF(K120&gt;0,IFERROR(IF(INDEX(Брони!$F$2:$F$500,MATCH(A120,Брони!$A$2:$A$500,0))="Возвращена",TODAY()-INT(INDEX(Брони!$E$2:$E$500,MATCH(A120,Брони!$A$2:$A$500,0))),""),""),""))</f>
        <v/>
      </c>
      <c r="O120" s="19">
        <f>IF(OR(N120="",Настройки!$B$8=""),"",IF(N120&gt;Настройки!$B$8,1,""))</f>
        <v/>
      </c>
    </row>
    <row r="121">
      <c r="A121" s="9" t="n"/>
      <c r="B121" s="12">
        <f>IF(A121="","",IFERROR(INDEX(Брони!$C$2:$C$500,MATCH(A121,Брони!$A$2:$A$500,0)),""))</f>
        <v/>
      </c>
      <c r="C121" s="12">
        <f>IF(A121="","",IFERROR(INDEX(Брони!$B$2:$B$500,MATCH(A121,Брони!$A$2:$A$500,0)),""))</f>
        <v/>
      </c>
      <c r="D121" s="14" t="n"/>
      <c r="E121" s="10" t="n"/>
      <c r="F121" s="18" t="n"/>
      <c r="G121" s="18" t="n"/>
      <c r="H121" s="14" t="n"/>
      <c r="I121" s="14" t="n"/>
      <c r="J121" s="10" t="n"/>
      <c r="K121" s="15">
        <f>IF(OR(A121="",D121=""),"",D121-H121-I121)</f>
        <v/>
      </c>
      <c r="L121" s="12">
        <f>IF(K121="","",IF(K121&gt;0,"На руках",IF(I121&gt;0,IF(H121&gt;0,"Удержан частично","Удержан"),"Возвращён")))</f>
        <v/>
      </c>
      <c r="M121" s="10" t="n"/>
      <c r="N121" s="19">
        <f>IF(K121="","",IF(K121&gt;0,IFERROR(IF(INDEX(Брони!$F$2:$F$500,MATCH(A121,Брони!$A$2:$A$500,0))="Возвращена",TODAY()-INT(INDEX(Брони!$E$2:$E$500,MATCH(A121,Брони!$A$2:$A$500,0))),""),""),""))</f>
        <v/>
      </c>
      <c r="O121" s="19">
        <f>IF(OR(N121="",Настройки!$B$8=""),"",IF(N121&gt;Настройки!$B$8,1,""))</f>
        <v/>
      </c>
    </row>
    <row r="122">
      <c r="A122" s="9" t="n"/>
      <c r="B122" s="12">
        <f>IF(A122="","",IFERROR(INDEX(Брони!$C$2:$C$500,MATCH(A122,Брони!$A$2:$A$500,0)),""))</f>
        <v/>
      </c>
      <c r="C122" s="12">
        <f>IF(A122="","",IFERROR(INDEX(Брони!$B$2:$B$500,MATCH(A122,Брони!$A$2:$A$500,0)),""))</f>
        <v/>
      </c>
      <c r="D122" s="14" t="n"/>
      <c r="E122" s="10" t="n"/>
      <c r="F122" s="18" t="n"/>
      <c r="G122" s="18" t="n"/>
      <c r="H122" s="14" t="n"/>
      <c r="I122" s="14" t="n"/>
      <c r="J122" s="10" t="n"/>
      <c r="K122" s="15">
        <f>IF(OR(A122="",D122=""),"",D122-H122-I122)</f>
        <v/>
      </c>
      <c r="L122" s="12">
        <f>IF(K122="","",IF(K122&gt;0,"На руках",IF(I122&gt;0,IF(H122&gt;0,"Удержан частично","Удержан"),"Возвращён")))</f>
        <v/>
      </c>
      <c r="M122" s="10" t="n"/>
      <c r="N122" s="19">
        <f>IF(K122="","",IF(K122&gt;0,IFERROR(IF(INDEX(Брони!$F$2:$F$500,MATCH(A122,Брони!$A$2:$A$500,0))="Возвращена",TODAY()-INT(INDEX(Брони!$E$2:$E$500,MATCH(A122,Брони!$A$2:$A$500,0))),""),""),""))</f>
        <v/>
      </c>
      <c r="O122" s="19">
        <f>IF(OR(N122="",Настройки!$B$8=""),"",IF(N122&gt;Настройки!$B$8,1,""))</f>
        <v/>
      </c>
    </row>
    <row r="123">
      <c r="A123" s="9" t="n"/>
      <c r="B123" s="12">
        <f>IF(A123="","",IFERROR(INDEX(Брони!$C$2:$C$500,MATCH(A123,Брони!$A$2:$A$500,0)),""))</f>
        <v/>
      </c>
      <c r="C123" s="12">
        <f>IF(A123="","",IFERROR(INDEX(Брони!$B$2:$B$500,MATCH(A123,Брони!$A$2:$A$500,0)),""))</f>
        <v/>
      </c>
      <c r="D123" s="14" t="n"/>
      <c r="E123" s="10" t="n"/>
      <c r="F123" s="18" t="n"/>
      <c r="G123" s="18" t="n"/>
      <c r="H123" s="14" t="n"/>
      <c r="I123" s="14" t="n"/>
      <c r="J123" s="10" t="n"/>
      <c r="K123" s="15">
        <f>IF(OR(A123="",D123=""),"",D123-H123-I123)</f>
        <v/>
      </c>
      <c r="L123" s="12">
        <f>IF(K123="","",IF(K123&gt;0,"На руках",IF(I123&gt;0,IF(H123&gt;0,"Удержан частично","Удержан"),"Возвращён")))</f>
        <v/>
      </c>
      <c r="M123" s="10" t="n"/>
      <c r="N123" s="19">
        <f>IF(K123="","",IF(K123&gt;0,IFERROR(IF(INDEX(Брони!$F$2:$F$500,MATCH(A123,Брони!$A$2:$A$500,0))="Возвращена",TODAY()-INT(INDEX(Брони!$E$2:$E$500,MATCH(A123,Брони!$A$2:$A$500,0))),""),""),""))</f>
        <v/>
      </c>
      <c r="O123" s="19">
        <f>IF(OR(N123="",Настройки!$B$8=""),"",IF(N123&gt;Настройки!$B$8,1,""))</f>
        <v/>
      </c>
    </row>
    <row r="124">
      <c r="A124" s="9" t="n"/>
      <c r="B124" s="12">
        <f>IF(A124="","",IFERROR(INDEX(Брони!$C$2:$C$500,MATCH(A124,Брони!$A$2:$A$500,0)),""))</f>
        <v/>
      </c>
      <c r="C124" s="12">
        <f>IF(A124="","",IFERROR(INDEX(Брони!$B$2:$B$500,MATCH(A124,Брони!$A$2:$A$500,0)),""))</f>
        <v/>
      </c>
      <c r="D124" s="14" t="n"/>
      <c r="E124" s="10" t="n"/>
      <c r="F124" s="18" t="n"/>
      <c r="G124" s="18" t="n"/>
      <c r="H124" s="14" t="n"/>
      <c r="I124" s="14" t="n"/>
      <c r="J124" s="10" t="n"/>
      <c r="K124" s="15">
        <f>IF(OR(A124="",D124=""),"",D124-H124-I124)</f>
        <v/>
      </c>
      <c r="L124" s="12">
        <f>IF(K124="","",IF(K124&gt;0,"На руках",IF(I124&gt;0,IF(H124&gt;0,"Удержан частично","Удержан"),"Возвращён")))</f>
        <v/>
      </c>
      <c r="M124" s="10" t="n"/>
      <c r="N124" s="19">
        <f>IF(K124="","",IF(K124&gt;0,IFERROR(IF(INDEX(Брони!$F$2:$F$500,MATCH(A124,Брони!$A$2:$A$500,0))="Возвращена",TODAY()-INT(INDEX(Брони!$E$2:$E$500,MATCH(A124,Брони!$A$2:$A$500,0))),""),""),""))</f>
        <v/>
      </c>
      <c r="O124" s="19">
        <f>IF(OR(N124="",Настройки!$B$8=""),"",IF(N124&gt;Настройки!$B$8,1,""))</f>
        <v/>
      </c>
    </row>
    <row r="125">
      <c r="A125" s="9" t="n"/>
      <c r="B125" s="12">
        <f>IF(A125="","",IFERROR(INDEX(Брони!$C$2:$C$500,MATCH(A125,Брони!$A$2:$A$500,0)),""))</f>
        <v/>
      </c>
      <c r="C125" s="12">
        <f>IF(A125="","",IFERROR(INDEX(Брони!$B$2:$B$500,MATCH(A125,Брони!$A$2:$A$500,0)),""))</f>
        <v/>
      </c>
      <c r="D125" s="14" t="n"/>
      <c r="E125" s="10" t="n"/>
      <c r="F125" s="18" t="n"/>
      <c r="G125" s="18" t="n"/>
      <c r="H125" s="14" t="n"/>
      <c r="I125" s="14" t="n"/>
      <c r="J125" s="10" t="n"/>
      <c r="K125" s="15">
        <f>IF(OR(A125="",D125=""),"",D125-H125-I125)</f>
        <v/>
      </c>
      <c r="L125" s="12">
        <f>IF(K125="","",IF(K125&gt;0,"На руках",IF(I125&gt;0,IF(H125&gt;0,"Удержан частично","Удержан"),"Возвращён")))</f>
        <v/>
      </c>
      <c r="M125" s="10" t="n"/>
      <c r="N125" s="19">
        <f>IF(K125="","",IF(K125&gt;0,IFERROR(IF(INDEX(Брони!$F$2:$F$500,MATCH(A125,Брони!$A$2:$A$500,0))="Возвращена",TODAY()-INT(INDEX(Брони!$E$2:$E$500,MATCH(A125,Брони!$A$2:$A$500,0))),""),""),""))</f>
        <v/>
      </c>
      <c r="O125" s="19">
        <f>IF(OR(N125="",Настройки!$B$8=""),"",IF(N125&gt;Настройки!$B$8,1,""))</f>
        <v/>
      </c>
    </row>
    <row r="126">
      <c r="A126" s="9" t="n"/>
      <c r="B126" s="12">
        <f>IF(A126="","",IFERROR(INDEX(Брони!$C$2:$C$500,MATCH(A126,Брони!$A$2:$A$500,0)),""))</f>
        <v/>
      </c>
      <c r="C126" s="12">
        <f>IF(A126="","",IFERROR(INDEX(Брони!$B$2:$B$500,MATCH(A126,Брони!$A$2:$A$500,0)),""))</f>
        <v/>
      </c>
      <c r="D126" s="14" t="n"/>
      <c r="E126" s="10" t="n"/>
      <c r="F126" s="18" t="n"/>
      <c r="G126" s="18" t="n"/>
      <c r="H126" s="14" t="n"/>
      <c r="I126" s="14" t="n"/>
      <c r="J126" s="10" t="n"/>
      <c r="K126" s="15">
        <f>IF(OR(A126="",D126=""),"",D126-H126-I126)</f>
        <v/>
      </c>
      <c r="L126" s="12">
        <f>IF(K126="","",IF(K126&gt;0,"На руках",IF(I126&gt;0,IF(H126&gt;0,"Удержан частично","Удержан"),"Возвращён")))</f>
        <v/>
      </c>
      <c r="M126" s="10" t="n"/>
      <c r="N126" s="19">
        <f>IF(K126="","",IF(K126&gt;0,IFERROR(IF(INDEX(Брони!$F$2:$F$500,MATCH(A126,Брони!$A$2:$A$500,0))="Возвращена",TODAY()-INT(INDEX(Брони!$E$2:$E$500,MATCH(A126,Брони!$A$2:$A$500,0))),""),""),""))</f>
        <v/>
      </c>
      <c r="O126" s="19">
        <f>IF(OR(N126="",Настройки!$B$8=""),"",IF(N126&gt;Настройки!$B$8,1,""))</f>
        <v/>
      </c>
    </row>
    <row r="127">
      <c r="A127" s="9" t="n"/>
      <c r="B127" s="12">
        <f>IF(A127="","",IFERROR(INDEX(Брони!$C$2:$C$500,MATCH(A127,Брони!$A$2:$A$500,0)),""))</f>
        <v/>
      </c>
      <c r="C127" s="12">
        <f>IF(A127="","",IFERROR(INDEX(Брони!$B$2:$B$500,MATCH(A127,Брони!$A$2:$A$500,0)),""))</f>
        <v/>
      </c>
      <c r="D127" s="14" t="n"/>
      <c r="E127" s="10" t="n"/>
      <c r="F127" s="18" t="n"/>
      <c r="G127" s="18" t="n"/>
      <c r="H127" s="14" t="n"/>
      <c r="I127" s="14" t="n"/>
      <c r="J127" s="10" t="n"/>
      <c r="K127" s="15">
        <f>IF(OR(A127="",D127=""),"",D127-H127-I127)</f>
        <v/>
      </c>
      <c r="L127" s="12">
        <f>IF(K127="","",IF(K127&gt;0,"На руках",IF(I127&gt;0,IF(H127&gt;0,"Удержан частично","Удержан"),"Возвращён")))</f>
        <v/>
      </c>
      <c r="M127" s="10" t="n"/>
      <c r="N127" s="19">
        <f>IF(K127="","",IF(K127&gt;0,IFERROR(IF(INDEX(Брони!$F$2:$F$500,MATCH(A127,Брони!$A$2:$A$500,0))="Возвращена",TODAY()-INT(INDEX(Брони!$E$2:$E$500,MATCH(A127,Брони!$A$2:$A$500,0))),""),""),""))</f>
        <v/>
      </c>
      <c r="O127" s="19">
        <f>IF(OR(N127="",Настройки!$B$8=""),"",IF(N127&gt;Настройки!$B$8,1,""))</f>
        <v/>
      </c>
    </row>
    <row r="128">
      <c r="A128" s="9" t="n"/>
      <c r="B128" s="12">
        <f>IF(A128="","",IFERROR(INDEX(Брони!$C$2:$C$500,MATCH(A128,Брони!$A$2:$A$500,0)),""))</f>
        <v/>
      </c>
      <c r="C128" s="12">
        <f>IF(A128="","",IFERROR(INDEX(Брони!$B$2:$B$500,MATCH(A128,Брони!$A$2:$A$500,0)),""))</f>
        <v/>
      </c>
      <c r="D128" s="14" t="n"/>
      <c r="E128" s="10" t="n"/>
      <c r="F128" s="18" t="n"/>
      <c r="G128" s="18" t="n"/>
      <c r="H128" s="14" t="n"/>
      <c r="I128" s="14" t="n"/>
      <c r="J128" s="10" t="n"/>
      <c r="K128" s="15">
        <f>IF(OR(A128="",D128=""),"",D128-H128-I128)</f>
        <v/>
      </c>
      <c r="L128" s="12">
        <f>IF(K128="","",IF(K128&gt;0,"На руках",IF(I128&gt;0,IF(H128&gt;0,"Удержан частично","Удержан"),"Возвращён")))</f>
        <v/>
      </c>
      <c r="M128" s="10" t="n"/>
      <c r="N128" s="19">
        <f>IF(K128="","",IF(K128&gt;0,IFERROR(IF(INDEX(Брони!$F$2:$F$500,MATCH(A128,Брони!$A$2:$A$500,0))="Возвращена",TODAY()-INT(INDEX(Брони!$E$2:$E$500,MATCH(A128,Брони!$A$2:$A$500,0))),""),""),""))</f>
        <v/>
      </c>
      <c r="O128" s="19">
        <f>IF(OR(N128="",Настройки!$B$8=""),"",IF(N128&gt;Настройки!$B$8,1,""))</f>
        <v/>
      </c>
    </row>
    <row r="129">
      <c r="A129" s="9" t="n"/>
      <c r="B129" s="12">
        <f>IF(A129="","",IFERROR(INDEX(Брони!$C$2:$C$500,MATCH(A129,Брони!$A$2:$A$500,0)),""))</f>
        <v/>
      </c>
      <c r="C129" s="12">
        <f>IF(A129="","",IFERROR(INDEX(Брони!$B$2:$B$500,MATCH(A129,Брони!$A$2:$A$500,0)),""))</f>
        <v/>
      </c>
      <c r="D129" s="14" t="n"/>
      <c r="E129" s="10" t="n"/>
      <c r="F129" s="18" t="n"/>
      <c r="G129" s="18" t="n"/>
      <c r="H129" s="14" t="n"/>
      <c r="I129" s="14" t="n"/>
      <c r="J129" s="10" t="n"/>
      <c r="K129" s="15">
        <f>IF(OR(A129="",D129=""),"",D129-H129-I129)</f>
        <v/>
      </c>
      <c r="L129" s="12">
        <f>IF(K129="","",IF(K129&gt;0,"На руках",IF(I129&gt;0,IF(H129&gt;0,"Удержан частично","Удержан"),"Возвращён")))</f>
        <v/>
      </c>
      <c r="M129" s="10" t="n"/>
      <c r="N129" s="19">
        <f>IF(K129="","",IF(K129&gt;0,IFERROR(IF(INDEX(Брони!$F$2:$F$500,MATCH(A129,Брони!$A$2:$A$500,0))="Возвращена",TODAY()-INT(INDEX(Брони!$E$2:$E$500,MATCH(A129,Брони!$A$2:$A$500,0))),""),""),""))</f>
        <v/>
      </c>
      <c r="O129" s="19">
        <f>IF(OR(N129="",Настройки!$B$8=""),"",IF(N129&gt;Настройки!$B$8,1,""))</f>
        <v/>
      </c>
    </row>
    <row r="130">
      <c r="A130" s="9" t="n"/>
      <c r="B130" s="12">
        <f>IF(A130="","",IFERROR(INDEX(Брони!$C$2:$C$500,MATCH(A130,Брони!$A$2:$A$500,0)),""))</f>
        <v/>
      </c>
      <c r="C130" s="12">
        <f>IF(A130="","",IFERROR(INDEX(Брони!$B$2:$B$500,MATCH(A130,Брони!$A$2:$A$500,0)),""))</f>
        <v/>
      </c>
      <c r="D130" s="14" t="n"/>
      <c r="E130" s="10" t="n"/>
      <c r="F130" s="18" t="n"/>
      <c r="G130" s="18" t="n"/>
      <c r="H130" s="14" t="n"/>
      <c r="I130" s="14" t="n"/>
      <c r="J130" s="10" t="n"/>
      <c r="K130" s="15">
        <f>IF(OR(A130="",D130=""),"",D130-H130-I130)</f>
        <v/>
      </c>
      <c r="L130" s="12">
        <f>IF(K130="","",IF(K130&gt;0,"На руках",IF(I130&gt;0,IF(H130&gt;0,"Удержан частично","Удержан"),"Возвращён")))</f>
        <v/>
      </c>
      <c r="M130" s="10" t="n"/>
      <c r="N130" s="19">
        <f>IF(K130="","",IF(K130&gt;0,IFERROR(IF(INDEX(Брони!$F$2:$F$500,MATCH(A130,Брони!$A$2:$A$500,0))="Возвращена",TODAY()-INT(INDEX(Брони!$E$2:$E$500,MATCH(A130,Брони!$A$2:$A$500,0))),""),""),""))</f>
        <v/>
      </c>
      <c r="O130" s="19">
        <f>IF(OR(N130="",Настройки!$B$8=""),"",IF(N130&gt;Настройки!$B$8,1,""))</f>
        <v/>
      </c>
    </row>
    <row r="131">
      <c r="A131" s="9" t="n"/>
      <c r="B131" s="12">
        <f>IF(A131="","",IFERROR(INDEX(Брони!$C$2:$C$500,MATCH(A131,Брони!$A$2:$A$500,0)),""))</f>
        <v/>
      </c>
      <c r="C131" s="12">
        <f>IF(A131="","",IFERROR(INDEX(Брони!$B$2:$B$500,MATCH(A131,Брони!$A$2:$A$500,0)),""))</f>
        <v/>
      </c>
      <c r="D131" s="14" t="n"/>
      <c r="E131" s="10" t="n"/>
      <c r="F131" s="18" t="n"/>
      <c r="G131" s="18" t="n"/>
      <c r="H131" s="14" t="n"/>
      <c r="I131" s="14" t="n"/>
      <c r="J131" s="10" t="n"/>
      <c r="K131" s="15">
        <f>IF(OR(A131="",D131=""),"",D131-H131-I131)</f>
        <v/>
      </c>
      <c r="L131" s="12">
        <f>IF(K131="","",IF(K131&gt;0,"На руках",IF(I131&gt;0,IF(H131&gt;0,"Удержан частично","Удержан"),"Возвращён")))</f>
        <v/>
      </c>
      <c r="M131" s="10" t="n"/>
      <c r="N131" s="19">
        <f>IF(K131="","",IF(K131&gt;0,IFERROR(IF(INDEX(Брони!$F$2:$F$500,MATCH(A131,Брони!$A$2:$A$500,0))="Возвращена",TODAY()-INT(INDEX(Брони!$E$2:$E$500,MATCH(A131,Брони!$A$2:$A$500,0))),""),""),""))</f>
        <v/>
      </c>
      <c r="O131" s="19">
        <f>IF(OR(N131="",Настройки!$B$8=""),"",IF(N131&gt;Настройки!$B$8,1,""))</f>
        <v/>
      </c>
    </row>
    <row r="132">
      <c r="A132" s="9" t="n"/>
      <c r="B132" s="12">
        <f>IF(A132="","",IFERROR(INDEX(Брони!$C$2:$C$500,MATCH(A132,Брони!$A$2:$A$500,0)),""))</f>
        <v/>
      </c>
      <c r="C132" s="12">
        <f>IF(A132="","",IFERROR(INDEX(Брони!$B$2:$B$500,MATCH(A132,Брони!$A$2:$A$500,0)),""))</f>
        <v/>
      </c>
      <c r="D132" s="14" t="n"/>
      <c r="E132" s="10" t="n"/>
      <c r="F132" s="18" t="n"/>
      <c r="G132" s="18" t="n"/>
      <c r="H132" s="14" t="n"/>
      <c r="I132" s="14" t="n"/>
      <c r="J132" s="10" t="n"/>
      <c r="K132" s="15">
        <f>IF(OR(A132="",D132=""),"",D132-H132-I132)</f>
        <v/>
      </c>
      <c r="L132" s="12">
        <f>IF(K132="","",IF(K132&gt;0,"На руках",IF(I132&gt;0,IF(H132&gt;0,"Удержан частично","Удержан"),"Возвращён")))</f>
        <v/>
      </c>
      <c r="M132" s="10" t="n"/>
      <c r="N132" s="19">
        <f>IF(K132="","",IF(K132&gt;0,IFERROR(IF(INDEX(Брони!$F$2:$F$500,MATCH(A132,Брони!$A$2:$A$500,0))="Возвращена",TODAY()-INT(INDEX(Брони!$E$2:$E$500,MATCH(A132,Брони!$A$2:$A$500,0))),""),""),""))</f>
        <v/>
      </c>
      <c r="O132" s="19">
        <f>IF(OR(N132="",Настройки!$B$8=""),"",IF(N132&gt;Настройки!$B$8,1,""))</f>
        <v/>
      </c>
    </row>
    <row r="133">
      <c r="A133" s="9" t="n"/>
      <c r="B133" s="12">
        <f>IF(A133="","",IFERROR(INDEX(Брони!$C$2:$C$500,MATCH(A133,Брони!$A$2:$A$500,0)),""))</f>
        <v/>
      </c>
      <c r="C133" s="12">
        <f>IF(A133="","",IFERROR(INDEX(Брони!$B$2:$B$500,MATCH(A133,Брони!$A$2:$A$500,0)),""))</f>
        <v/>
      </c>
      <c r="D133" s="14" t="n"/>
      <c r="E133" s="10" t="n"/>
      <c r="F133" s="18" t="n"/>
      <c r="G133" s="18" t="n"/>
      <c r="H133" s="14" t="n"/>
      <c r="I133" s="14" t="n"/>
      <c r="J133" s="10" t="n"/>
      <c r="K133" s="15">
        <f>IF(OR(A133="",D133=""),"",D133-H133-I133)</f>
        <v/>
      </c>
      <c r="L133" s="12">
        <f>IF(K133="","",IF(K133&gt;0,"На руках",IF(I133&gt;0,IF(H133&gt;0,"Удержан частично","Удержан"),"Возвращён")))</f>
        <v/>
      </c>
      <c r="M133" s="10" t="n"/>
      <c r="N133" s="19">
        <f>IF(K133="","",IF(K133&gt;0,IFERROR(IF(INDEX(Брони!$F$2:$F$500,MATCH(A133,Брони!$A$2:$A$500,0))="Возвращена",TODAY()-INT(INDEX(Брони!$E$2:$E$500,MATCH(A133,Брони!$A$2:$A$500,0))),""),""),""))</f>
        <v/>
      </c>
      <c r="O133" s="19">
        <f>IF(OR(N133="",Настройки!$B$8=""),"",IF(N133&gt;Настройки!$B$8,1,""))</f>
        <v/>
      </c>
    </row>
    <row r="134">
      <c r="A134" s="9" t="n"/>
      <c r="B134" s="12">
        <f>IF(A134="","",IFERROR(INDEX(Брони!$C$2:$C$500,MATCH(A134,Брони!$A$2:$A$500,0)),""))</f>
        <v/>
      </c>
      <c r="C134" s="12">
        <f>IF(A134="","",IFERROR(INDEX(Брони!$B$2:$B$500,MATCH(A134,Брони!$A$2:$A$500,0)),""))</f>
        <v/>
      </c>
      <c r="D134" s="14" t="n"/>
      <c r="E134" s="10" t="n"/>
      <c r="F134" s="18" t="n"/>
      <c r="G134" s="18" t="n"/>
      <c r="H134" s="14" t="n"/>
      <c r="I134" s="14" t="n"/>
      <c r="J134" s="10" t="n"/>
      <c r="K134" s="15">
        <f>IF(OR(A134="",D134=""),"",D134-H134-I134)</f>
        <v/>
      </c>
      <c r="L134" s="12">
        <f>IF(K134="","",IF(K134&gt;0,"На руках",IF(I134&gt;0,IF(H134&gt;0,"Удержан частично","Удержан"),"Возвращён")))</f>
        <v/>
      </c>
      <c r="M134" s="10" t="n"/>
      <c r="N134" s="19">
        <f>IF(K134="","",IF(K134&gt;0,IFERROR(IF(INDEX(Брони!$F$2:$F$500,MATCH(A134,Брони!$A$2:$A$500,0))="Возвращена",TODAY()-INT(INDEX(Брони!$E$2:$E$500,MATCH(A134,Брони!$A$2:$A$500,0))),""),""),""))</f>
        <v/>
      </c>
      <c r="O134" s="19">
        <f>IF(OR(N134="",Настройки!$B$8=""),"",IF(N134&gt;Настройки!$B$8,1,""))</f>
        <v/>
      </c>
    </row>
    <row r="135">
      <c r="A135" s="9" t="n"/>
      <c r="B135" s="12">
        <f>IF(A135="","",IFERROR(INDEX(Брони!$C$2:$C$500,MATCH(A135,Брони!$A$2:$A$500,0)),""))</f>
        <v/>
      </c>
      <c r="C135" s="12">
        <f>IF(A135="","",IFERROR(INDEX(Брони!$B$2:$B$500,MATCH(A135,Брони!$A$2:$A$500,0)),""))</f>
        <v/>
      </c>
      <c r="D135" s="14" t="n"/>
      <c r="E135" s="10" t="n"/>
      <c r="F135" s="18" t="n"/>
      <c r="G135" s="18" t="n"/>
      <c r="H135" s="14" t="n"/>
      <c r="I135" s="14" t="n"/>
      <c r="J135" s="10" t="n"/>
      <c r="K135" s="15">
        <f>IF(OR(A135="",D135=""),"",D135-H135-I135)</f>
        <v/>
      </c>
      <c r="L135" s="12">
        <f>IF(K135="","",IF(K135&gt;0,"На руках",IF(I135&gt;0,IF(H135&gt;0,"Удержан частично","Удержан"),"Возвращён")))</f>
        <v/>
      </c>
      <c r="M135" s="10" t="n"/>
      <c r="N135" s="19">
        <f>IF(K135="","",IF(K135&gt;0,IFERROR(IF(INDEX(Брони!$F$2:$F$500,MATCH(A135,Брони!$A$2:$A$500,0))="Возвращена",TODAY()-INT(INDEX(Брони!$E$2:$E$500,MATCH(A135,Брони!$A$2:$A$500,0))),""),""),""))</f>
        <v/>
      </c>
      <c r="O135" s="19">
        <f>IF(OR(N135="",Настройки!$B$8=""),"",IF(N135&gt;Настройки!$B$8,1,""))</f>
        <v/>
      </c>
    </row>
    <row r="136">
      <c r="A136" s="9" t="n"/>
      <c r="B136" s="12">
        <f>IF(A136="","",IFERROR(INDEX(Брони!$C$2:$C$500,MATCH(A136,Брони!$A$2:$A$500,0)),""))</f>
        <v/>
      </c>
      <c r="C136" s="12">
        <f>IF(A136="","",IFERROR(INDEX(Брони!$B$2:$B$500,MATCH(A136,Брони!$A$2:$A$500,0)),""))</f>
        <v/>
      </c>
      <c r="D136" s="14" t="n"/>
      <c r="E136" s="10" t="n"/>
      <c r="F136" s="18" t="n"/>
      <c r="G136" s="18" t="n"/>
      <c r="H136" s="14" t="n"/>
      <c r="I136" s="14" t="n"/>
      <c r="J136" s="10" t="n"/>
      <c r="K136" s="15">
        <f>IF(OR(A136="",D136=""),"",D136-H136-I136)</f>
        <v/>
      </c>
      <c r="L136" s="12">
        <f>IF(K136="","",IF(K136&gt;0,"На руках",IF(I136&gt;0,IF(H136&gt;0,"Удержан частично","Удержан"),"Возвращён")))</f>
        <v/>
      </c>
      <c r="M136" s="10" t="n"/>
      <c r="N136" s="19">
        <f>IF(K136="","",IF(K136&gt;0,IFERROR(IF(INDEX(Брони!$F$2:$F$500,MATCH(A136,Брони!$A$2:$A$500,0))="Возвращена",TODAY()-INT(INDEX(Брони!$E$2:$E$500,MATCH(A136,Брони!$A$2:$A$500,0))),""),""),""))</f>
        <v/>
      </c>
      <c r="O136" s="19">
        <f>IF(OR(N136="",Настройки!$B$8=""),"",IF(N136&gt;Настройки!$B$8,1,""))</f>
        <v/>
      </c>
    </row>
    <row r="137">
      <c r="A137" s="9" t="n"/>
      <c r="B137" s="12">
        <f>IF(A137="","",IFERROR(INDEX(Брони!$C$2:$C$500,MATCH(A137,Брони!$A$2:$A$500,0)),""))</f>
        <v/>
      </c>
      <c r="C137" s="12">
        <f>IF(A137="","",IFERROR(INDEX(Брони!$B$2:$B$500,MATCH(A137,Брони!$A$2:$A$500,0)),""))</f>
        <v/>
      </c>
      <c r="D137" s="14" t="n"/>
      <c r="E137" s="10" t="n"/>
      <c r="F137" s="18" t="n"/>
      <c r="G137" s="18" t="n"/>
      <c r="H137" s="14" t="n"/>
      <c r="I137" s="14" t="n"/>
      <c r="J137" s="10" t="n"/>
      <c r="K137" s="15">
        <f>IF(OR(A137="",D137=""),"",D137-H137-I137)</f>
        <v/>
      </c>
      <c r="L137" s="12">
        <f>IF(K137="","",IF(K137&gt;0,"На руках",IF(I137&gt;0,IF(H137&gt;0,"Удержан частично","Удержан"),"Возвращён")))</f>
        <v/>
      </c>
      <c r="M137" s="10" t="n"/>
      <c r="N137" s="19">
        <f>IF(K137="","",IF(K137&gt;0,IFERROR(IF(INDEX(Брони!$F$2:$F$500,MATCH(A137,Брони!$A$2:$A$500,0))="Возвращена",TODAY()-INT(INDEX(Брони!$E$2:$E$500,MATCH(A137,Брони!$A$2:$A$500,0))),""),""),""))</f>
        <v/>
      </c>
      <c r="O137" s="19">
        <f>IF(OR(N137="",Настройки!$B$8=""),"",IF(N137&gt;Настройки!$B$8,1,""))</f>
        <v/>
      </c>
    </row>
    <row r="138">
      <c r="A138" s="9" t="n"/>
      <c r="B138" s="12">
        <f>IF(A138="","",IFERROR(INDEX(Брони!$C$2:$C$500,MATCH(A138,Брони!$A$2:$A$500,0)),""))</f>
        <v/>
      </c>
      <c r="C138" s="12">
        <f>IF(A138="","",IFERROR(INDEX(Брони!$B$2:$B$500,MATCH(A138,Брони!$A$2:$A$500,0)),""))</f>
        <v/>
      </c>
      <c r="D138" s="14" t="n"/>
      <c r="E138" s="10" t="n"/>
      <c r="F138" s="18" t="n"/>
      <c r="G138" s="18" t="n"/>
      <c r="H138" s="14" t="n"/>
      <c r="I138" s="14" t="n"/>
      <c r="J138" s="10" t="n"/>
      <c r="K138" s="15">
        <f>IF(OR(A138="",D138=""),"",D138-H138-I138)</f>
        <v/>
      </c>
      <c r="L138" s="12">
        <f>IF(K138="","",IF(K138&gt;0,"На руках",IF(I138&gt;0,IF(H138&gt;0,"Удержан частично","Удержан"),"Возвращён")))</f>
        <v/>
      </c>
      <c r="M138" s="10" t="n"/>
      <c r="N138" s="19">
        <f>IF(K138="","",IF(K138&gt;0,IFERROR(IF(INDEX(Брони!$F$2:$F$500,MATCH(A138,Брони!$A$2:$A$500,0))="Возвращена",TODAY()-INT(INDEX(Брони!$E$2:$E$500,MATCH(A138,Брони!$A$2:$A$500,0))),""),""),""))</f>
        <v/>
      </c>
      <c r="O138" s="19">
        <f>IF(OR(N138="",Настройки!$B$8=""),"",IF(N138&gt;Настройки!$B$8,1,""))</f>
        <v/>
      </c>
    </row>
    <row r="139">
      <c r="A139" s="9" t="n"/>
      <c r="B139" s="12">
        <f>IF(A139="","",IFERROR(INDEX(Брони!$C$2:$C$500,MATCH(A139,Брони!$A$2:$A$500,0)),""))</f>
        <v/>
      </c>
      <c r="C139" s="12">
        <f>IF(A139="","",IFERROR(INDEX(Брони!$B$2:$B$500,MATCH(A139,Брони!$A$2:$A$500,0)),""))</f>
        <v/>
      </c>
      <c r="D139" s="14" t="n"/>
      <c r="E139" s="10" t="n"/>
      <c r="F139" s="18" t="n"/>
      <c r="G139" s="18" t="n"/>
      <c r="H139" s="14" t="n"/>
      <c r="I139" s="14" t="n"/>
      <c r="J139" s="10" t="n"/>
      <c r="K139" s="15">
        <f>IF(OR(A139="",D139=""),"",D139-H139-I139)</f>
        <v/>
      </c>
      <c r="L139" s="12">
        <f>IF(K139="","",IF(K139&gt;0,"На руках",IF(I139&gt;0,IF(H139&gt;0,"Удержан частично","Удержан"),"Возвращён")))</f>
        <v/>
      </c>
      <c r="M139" s="10" t="n"/>
      <c r="N139" s="19">
        <f>IF(K139="","",IF(K139&gt;0,IFERROR(IF(INDEX(Брони!$F$2:$F$500,MATCH(A139,Брони!$A$2:$A$500,0))="Возвращена",TODAY()-INT(INDEX(Брони!$E$2:$E$500,MATCH(A139,Брони!$A$2:$A$500,0))),""),""),""))</f>
        <v/>
      </c>
      <c r="O139" s="19">
        <f>IF(OR(N139="",Настройки!$B$8=""),"",IF(N139&gt;Настройки!$B$8,1,""))</f>
        <v/>
      </c>
    </row>
    <row r="140">
      <c r="A140" s="9" t="n"/>
      <c r="B140" s="12">
        <f>IF(A140="","",IFERROR(INDEX(Брони!$C$2:$C$500,MATCH(A140,Брони!$A$2:$A$500,0)),""))</f>
        <v/>
      </c>
      <c r="C140" s="12">
        <f>IF(A140="","",IFERROR(INDEX(Брони!$B$2:$B$500,MATCH(A140,Брони!$A$2:$A$500,0)),""))</f>
        <v/>
      </c>
      <c r="D140" s="14" t="n"/>
      <c r="E140" s="10" t="n"/>
      <c r="F140" s="18" t="n"/>
      <c r="G140" s="18" t="n"/>
      <c r="H140" s="14" t="n"/>
      <c r="I140" s="14" t="n"/>
      <c r="J140" s="10" t="n"/>
      <c r="K140" s="15">
        <f>IF(OR(A140="",D140=""),"",D140-H140-I140)</f>
        <v/>
      </c>
      <c r="L140" s="12">
        <f>IF(K140="","",IF(K140&gt;0,"На руках",IF(I140&gt;0,IF(H140&gt;0,"Удержан частично","Удержан"),"Возвращён")))</f>
        <v/>
      </c>
      <c r="M140" s="10" t="n"/>
      <c r="N140" s="19">
        <f>IF(K140="","",IF(K140&gt;0,IFERROR(IF(INDEX(Брони!$F$2:$F$500,MATCH(A140,Брони!$A$2:$A$500,0))="Возвращена",TODAY()-INT(INDEX(Брони!$E$2:$E$500,MATCH(A140,Брони!$A$2:$A$500,0))),""),""),""))</f>
        <v/>
      </c>
      <c r="O140" s="19">
        <f>IF(OR(N140="",Настройки!$B$8=""),"",IF(N140&gt;Настройки!$B$8,1,""))</f>
        <v/>
      </c>
    </row>
    <row r="141">
      <c r="A141" s="9" t="n"/>
      <c r="B141" s="12">
        <f>IF(A141="","",IFERROR(INDEX(Брони!$C$2:$C$500,MATCH(A141,Брони!$A$2:$A$500,0)),""))</f>
        <v/>
      </c>
      <c r="C141" s="12">
        <f>IF(A141="","",IFERROR(INDEX(Брони!$B$2:$B$500,MATCH(A141,Брони!$A$2:$A$500,0)),""))</f>
        <v/>
      </c>
      <c r="D141" s="14" t="n"/>
      <c r="E141" s="10" t="n"/>
      <c r="F141" s="18" t="n"/>
      <c r="G141" s="18" t="n"/>
      <c r="H141" s="14" t="n"/>
      <c r="I141" s="14" t="n"/>
      <c r="J141" s="10" t="n"/>
      <c r="K141" s="15">
        <f>IF(OR(A141="",D141=""),"",D141-H141-I141)</f>
        <v/>
      </c>
      <c r="L141" s="12">
        <f>IF(K141="","",IF(K141&gt;0,"На руках",IF(I141&gt;0,IF(H141&gt;0,"Удержан частично","Удержан"),"Возвращён")))</f>
        <v/>
      </c>
      <c r="M141" s="10" t="n"/>
      <c r="N141" s="19">
        <f>IF(K141="","",IF(K141&gt;0,IFERROR(IF(INDEX(Брони!$F$2:$F$500,MATCH(A141,Брони!$A$2:$A$500,0))="Возвращена",TODAY()-INT(INDEX(Брони!$E$2:$E$500,MATCH(A141,Брони!$A$2:$A$500,0))),""),""),""))</f>
        <v/>
      </c>
      <c r="O141" s="19">
        <f>IF(OR(N141="",Настройки!$B$8=""),"",IF(N141&gt;Настройки!$B$8,1,""))</f>
        <v/>
      </c>
    </row>
    <row r="142">
      <c r="A142" s="9" t="n"/>
      <c r="B142" s="12">
        <f>IF(A142="","",IFERROR(INDEX(Брони!$C$2:$C$500,MATCH(A142,Брони!$A$2:$A$500,0)),""))</f>
        <v/>
      </c>
      <c r="C142" s="12">
        <f>IF(A142="","",IFERROR(INDEX(Брони!$B$2:$B$500,MATCH(A142,Брони!$A$2:$A$500,0)),""))</f>
        <v/>
      </c>
      <c r="D142" s="14" t="n"/>
      <c r="E142" s="10" t="n"/>
      <c r="F142" s="18" t="n"/>
      <c r="G142" s="18" t="n"/>
      <c r="H142" s="14" t="n"/>
      <c r="I142" s="14" t="n"/>
      <c r="J142" s="10" t="n"/>
      <c r="K142" s="15">
        <f>IF(OR(A142="",D142=""),"",D142-H142-I142)</f>
        <v/>
      </c>
      <c r="L142" s="12">
        <f>IF(K142="","",IF(K142&gt;0,"На руках",IF(I142&gt;0,IF(H142&gt;0,"Удержан частично","Удержан"),"Возвращён")))</f>
        <v/>
      </c>
      <c r="M142" s="10" t="n"/>
      <c r="N142" s="19">
        <f>IF(K142="","",IF(K142&gt;0,IFERROR(IF(INDEX(Брони!$F$2:$F$500,MATCH(A142,Брони!$A$2:$A$500,0))="Возвращена",TODAY()-INT(INDEX(Брони!$E$2:$E$500,MATCH(A142,Брони!$A$2:$A$500,0))),""),""),""))</f>
        <v/>
      </c>
      <c r="O142" s="19">
        <f>IF(OR(N142="",Настройки!$B$8=""),"",IF(N142&gt;Настройки!$B$8,1,""))</f>
        <v/>
      </c>
    </row>
    <row r="143">
      <c r="A143" s="9" t="n"/>
      <c r="B143" s="12">
        <f>IF(A143="","",IFERROR(INDEX(Брони!$C$2:$C$500,MATCH(A143,Брони!$A$2:$A$500,0)),""))</f>
        <v/>
      </c>
      <c r="C143" s="12">
        <f>IF(A143="","",IFERROR(INDEX(Брони!$B$2:$B$500,MATCH(A143,Брони!$A$2:$A$500,0)),""))</f>
        <v/>
      </c>
      <c r="D143" s="14" t="n"/>
      <c r="E143" s="10" t="n"/>
      <c r="F143" s="18" t="n"/>
      <c r="G143" s="18" t="n"/>
      <c r="H143" s="14" t="n"/>
      <c r="I143" s="14" t="n"/>
      <c r="J143" s="10" t="n"/>
      <c r="K143" s="15">
        <f>IF(OR(A143="",D143=""),"",D143-H143-I143)</f>
        <v/>
      </c>
      <c r="L143" s="12">
        <f>IF(K143="","",IF(K143&gt;0,"На руках",IF(I143&gt;0,IF(H143&gt;0,"Удержан частично","Удержан"),"Возвращён")))</f>
        <v/>
      </c>
      <c r="M143" s="10" t="n"/>
      <c r="N143" s="19">
        <f>IF(K143="","",IF(K143&gt;0,IFERROR(IF(INDEX(Брони!$F$2:$F$500,MATCH(A143,Брони!$A$2:$A$500,0))="Возвращена",TODAY()-INT(INDEX(Брони!$E$2:$E$500,MATCH(A143,Брони!$A$2:$A$500,0))),""),""),""))</f>
        <v/>
      </c>
      <c r="O143" s="19">
        <f>IF(OR(N143="",Настройки!$B$8=""),"",IF(N143&gt;Настройки!$B$8,1,""))</f>
        <v/>
      </c>
    </row>
    <row r="144">
      <c r="A144" s="9" t="n"/>
      <c r="B144" s="12">
        <f>IF(A144="","",IFERROR(INDEX(Брони!$C$2:$C$500,MATCH(A144,Брони!$A$2:$A$500,0)),""))</f>
        <v/>
      </c>
      <c r="C144" s="12">
        <f>IF(A144="","",IFERROR(INDEX(Брони!$B$2:$B$500,MATCH(A144,Брони!$A$2:$A$500,0)),""))</f>
        <v/>
      </c>
      <c r="D144" s="14" t="n"/>
      <c r="E144" s="10" t="n"/>
      <c r="F144" s="18" t="n"/>
      <c r="G144" s="18" t="n"/>
      <c r="H144" s="14" t="n"/>
      <c r="I144" s="14" t="n"/>
      <c r="J144" s="10" t="n"/>
      <c r="K144" s="15">
        <f>IF(OR(A144="",D144=""),"",D144-H144-I144)</f>
        <v/>
      </c>
      <c r="L144" s="12">
        <f>IF(K144="","",IF(K144&gt;0,"На руках",IF(I144&gt;0,IF(H144&gt;0,"Удержан частично","Удержан"),"Возвращён")))</f>
        <v/>
      </c>
      <c r="M144" s="10" t="n"/>
      <c r="N144" s="19">
        <f>IF(K144="","",IF(K144&gt;0,IFERROR(IF(INDEX(Брони!$F$2:$F$500,MATCH(A144,Брони!$A$2:$A$500,0))="Возвращена",TODAY()-INT(INDEX(Брони!$E$2:$E$500,MATCH(A144,Брони!$A$2:$A$500,0))),""),""),""))</f>
        <v/>
      </c>
      <c r="O144" s="19">
        <f>IF(OR(N144="",Настройки!$B$8=""),"",IF(N144&gt;Настройки!$B$8,1,""))</f>
        <v/>
      </c>
    </row>
    <row r="145">
      <c r="A145" s="9" t="n"/>
      <c r="B145" s="12">
        <f>IF(A145="","",IFERROR(INDEX(Брони!$C$2:$C$500,MATCH(A145,Брони!$A$2:$A$500,0)),""))</f>
        <v/>
      </c>
      <c r="C145" s="12">
        <f>IF(A145="","",IFERROR(INDEX(Брони!$B$2:$B$500,MATCH(A145,Брони!$A$2:$A$500,0)),""))</f>
        <v/>
      </c>
      <c r="D145" s="14" t="n"/>
      <c r="E145" s="10" t="n"/>
      <c r="F145" s="18" t="n"/>
      <c r="G145" s="18" t="n"/>
      <c r="H145" s="14" t="n"/>
      <c r="I145" s="14" t="n"/>
      <c r="J145" s="10" t="n"/>
      <c r="K145" s="15">
        <f>IF(OR(A145="",D145=""),"",D145-H145-I145)</f>
        <v/>
      </c>
      <c r="L145" s="12">
        <f>IF(K145="","",IF(K145&gt;0,"На руках",IF(I145&gt;0,IF(H145&gt;0,"Удержан частично","Удержан"),"Возвращён")))</f>
        <v/>
      </c>
      <c r="M145" s="10" t="n"/>
      <c r="N145" s="19">
        <f>IF(K145="","",IF(K145&gt;0,IFERROR(IF(INDEX(Брони!$F$2:$F$500,MATCH(A145,Брони!$A$2:$A$500,0))="Возвращена",TODAY()-INT(INDEX(Брони!$E$2:$E$500,MATCH(A145,Брони!$A$2:$A$500,0))),""),""),""))</f>
        <v/>
      </c>
      <c r="O145" s="19">
        <f>IF(OR(N145="",Настройки!$B$8=""),"",IF(N145&gt;Настройки!$B$8,1,""))</f>
        <v/>
      </c>
    </row>
    <row r="146">
      <c r="A146" s="9" t="n"/>
      <c r="B146" s="12">
        <f>IF(A146="","",IFERROR(INDEX(Брони!$C$2:$C$500,MATCH(A146,Брони!$A$2:$A$500,0)),""))</f>
        <v/>
      </c>
      <c r="C146" s="12">
        <f>IF(A146="","",IFERROR(INDEX(Брони!$B$2:$B$500,MATCH(A146,Брони!$A$2:$A$500,0)),""))</f>
        <v/>
      </c>
      <c r="D146" s="14" t="n"/>
      <c r="E146" s="10" t="n"/>
      <c r="F146" s="18" t="n"/>
      <c r="G146" s="18" t="n"/>
      <c r="H146" s="14" t="n"/>
      <c r="I146" s="14" t="n"/>
      <c r="J146" s="10" t="n"/>
      <c r="K146" s="15">
        <f>IF(OR(A146="",D146=""),"",D146-H146-I146)</f>
        <v/>
      </c>
      <c r="L146" s="12">
        <f>IF(K146="","",IF(K146&gt;0,"На руках",IF(I146&gt;0,IF(H146&gt;0,"Удержан частично","Удержан"),"Возвращён")))</f>
        <v/>
      </c>
      <c r="M146" s="10" t="n"/>
      <c r="N146" s="19">
        <f>IF(K146="","",IF(K146&gt;0,IFERROR(IF(INDEX(Брони!$F$2:$F$500,MATCH(A146,Брони!$A$2:$A$500,0))="Возвращена",TODAY()-INT(INDEX(Брони!$E$2:$E$500,MATCH(A146,Брони!$A$2:$A$500,0))),""),""),""))</f>
        <v/>
      </c>
      <c r="O146" s="19">
        <f>IF(OR(N146="",Настройки!$B$8=""),"",IF(N146&gt;Настройки!$B$8,1,""))</f>
        <v/>
      </c>
    </row>
    <row r="147">
      <c r="A147" s="9" t="n"/>
      <c r="B147" s="12">
        <f>IF(A147="","",IFERROR(INDEX(Брони!$C$2:$C$500,MATCH(A147,Брони!$A$2:$A$500,0)),""))</f>
        <v/>
      </c>
      <c r="C147" s="12">
        <f>IF(A147="","",IFERROR(INDEX(Брони!$B$2:$B$500,MATCH(A147,Брони!$A$2:$A$500,0)),""))</f>
        <v/>
      </c>
      <c r="D147" s="14" t="n"/>
      <c r="E147" s="10" t="n"/>
      <c r="F147" s="18" t="n"/>
      <c r="G147" s="18" t="n"/>
      <c r="H147" s="14" t="n"/>
      <c r="I147" s="14" t="n"/>
      <c r="J147" s="10" t="n"/>
      <c r="K147" s="15">
        <f>IF(OR(A147="",D147=""),"",D147-H147-I147)</f>
        <v/>
      </c>
      <c r="L147" s="12">
        <f>IF(K147="","",IF(K147&gt;0,"На руках",IF(I147&gt;0,IF(H147&gt;0,"Удержан частично","Удержан"),"Возвращён")))</f>
        <v/>
      </c>
      <c r="M147" s="10" t="n"/>
      <c r="N147" s="19">
        <f>IF(K147="","",IF(K147&gt;0,IFERROR(IF(INDEX(Брони!$F$2:$F$500,MATCH(A147,Брони!$A$2:$A$500,0))="Возвращена",TODAY()-INT(INDEX(Брони!$E$2:$E$500,MATCH(A147,Брони!$A$2:$A$500,0))),""),""),""))</f>
        <v/>
      </c>
      <c r="O147" s="19">
        <f>IF(OR(N147="",Настройки!$B$8=""),"",IF(N147&gt;Настройки!$B$8,1,""))</f>
        <v/>
      </c>
    </row>
    <row r="148">
      <c r="A148" s="9" t="n"/>
      <c r="B148" s="12">
        <f>IF(A148="","",IFERROR(INDEX(Брони!$C$2:$C$500,MATCH(A148,Брони!$A$2:$A$500,0)),""))</f>
        <v/>
      </c>
      <c r="C148" s="12">
        <f>IF(A148="","",IFERROR(INDEX(Брони!$B$2:$B$500,MATCH(A148,Брони!$A$2:$A$500,0)),""))</f>
        <v/>
      </c>
      <c r="D148" s="14" t="n"/>
      <c r="E148" s="10" t="n"/>
      <c r="F148" s="18" t="n"/>
      <c r="G148" s="18" t="n"/>
      <c r="H148" s="14" t="n"/>
      <c r="I148" s="14" t="n"/>
      <c r="J148" s="10" t="n"/>
      <c r="K148" s="15">
        <f>IF(OR(A148="",D148=""),"",D148-H148-I148)</f>
        <v/>
      </c>
      <c r="L148" s="12">
        <f>IF(K148="","",IF(K148&gt;0,"На руках",IF(I148&gt;0,IF(H148&gt;0,"Удержан частично","Удержан"),"Возвращён")))</f>
        <v/>
      </c>
      <c r="M148" s="10" t="n"/>
      <c r="N148" s="19">
        <f>IF(K148="","",IF(K148&gt;0,IFERROR(IF(INDEX(Брони!$F$2:$F$500,MATCH(A148,Брони!$A$2:$A$500,0))="Возвращена",TODAY()-INT(INDEX(Брони!$E$2:$E$500,MATCH(A148,Брони!$A$2:$A$500,0))),""),""),""))</f>
        <v/>
      </c>
      <c r="O148" s="19">
        <f>IF(OR(N148="",Настройки!$B$8=""),"",IF(N148&gt;Настройки!$B$8,1,""))</f>
        <v/>
      </c>
    </row>
    <row r="149">
      <c r="A149" s="9" t="n"/>
      <c r="B149" s="12">
        <f>IF(A149="","",IFERROR(INDEX(Брони!$C$2:$C$500,MATCH(A149,Брони!$A$2:$A$500,0)),""))</f>
        <v/>
      </c>
      <c r="C149" s="12">
        <f>IF(A149="","",IFERROR(INDEX(Брони!$B$2:$B$500,MATCH(A149,Брони!$A$2:$A$500,0)),""))</f>
        <v/>
      </c>
      <c r="D149" s="14" t="n"/>
      <c r="E149" s="10" t="n"/>
      <c r="F149" s="18" t="n"/>
      <c r="G149" s="18" t="n"/>
      <c r="H149" s="14" t="n"/>
      <c r="I149" s="14" t="n"/>
      <c r="J149" s="10" t="n"/>
      <c r="K149" s="15">
        <f>IF(OR(A149="",D149=""),"",D149-H149-I149)</f>
        <v/>
      </c>
      <c r="L149" s="12">
        <f>IF(K149="","",IF(K149&gt;0,"На руках",IF(I149&gt;0,IF(H149&gt;0,"Удержан частично","Удержан"),"Возвращён")))</f>
        <v/>
      </c>
      <c r="M149" s="10" t="n"/>
      <c r="N149" s="19">
        <f>IF(K149="","",IF(K149&gt;0,IFERROR(IF(INDEX(Брони!$F$2:$F$500,MATCH(A149,Брони!$A$2:$A$500,0))="Возвращена",TODAY()-INT(INDEX(Брони!$E$2:$E$500,MATCH(A149,Брони!$A$2:$A$500,0))),""),""),""))</f>
        <v/>
      </c>
      <c r="O149" s="19">
        <f>IF(OR(N149="",Настройки!$B$8=""),"",IF(N149&gt;Настройки!$B$8,1,""))</f>
        <v/>
      </c>
    </row>
    <row r="150">
      <c r="A150" s="9" t="n"/>
      <c r="B150" s="12">
        <f>IF(A150="","",IFERROR(INDEX(Брони!$C$2:$C$500,MATCH(A150,Брони!$A$2:$A$500,0)),""))</f>
        <v/>
      </c>
      <c r="C150" s="12">
        <f>IF(A150="","",IFERROR(INDEX(Брони!$B$2:$B$500,MATCH(A150,Брони!$A$2:$A$500,0)),""))</f>
        <v/>
      </c>
      <c r="D150" s="14" t="n"/>
      <c r="E150" s="10" t="n"/>
      <c r="F150" s="18" t="n"/>
      <c r="G150" s="18" t="n"/>
      <c r="H150" s="14" t="n"/>
      <c r="I150" s="14" t="n"/>
      <c r="J150" s="10" t="n"/>
      <c r="K150" s="15">
        <f>IF(OR(A150="",D150=""),"",D150-H150-I150)</f>
        <v/>
      </c>
      <c r="L150" s="12">
        <f>IF(K150="","",IF(K150&gt;0,"На руках",IF(I150&gt;0,IF(H150&gt;0,"Удержан частично","Удержан"),"Возвращён")))</f>
        <v/>
      </c>
      <c r="M150" s="10" t="n"/>
      <c r="N150" s="19">
        <f>IF(K150="","",IF(K150&gt;0,IFERROR(IF(INDEX(Брони!$F$2:$F$500,MATCH(A150,Брони!$A$2:$A$500,0))="Возвращена",TODAY()-INT(INDEX(Брони!$E$2:$E$500,MATCH(A150,Брони!$A$2:$A$500,0))),""),""),""))</f>
        <v/>
      </c>
      <c r="O150" s="19">
        <f>IF(OR(N150="",Настройки!$B$8=""),"",IF(N150&gt;Настройки!$B$8,1,""))</f>
        <v/>
      </c>
    </row>
    <row r="151">
      <c r="A151" s="9" t="n"/>
      <c r="B151" s="12">
        <f>IF(A151="","",IFERROR(INDEX(Брони!$C$2:$C$500,MATCH(A151,Брони!$A$2:$A$500,0)),""))</f>
        <v/>
      </c>
      <c r="C151" s="12">
        <f>IF(A151="","",IFERROR(INDEX(Брони!$B$2:$B$500,MATCH(A151,Брони!$A$2:$A$500,0)),""))</f>
        <v/>
      </c>
      <c r="D151" s="14" t="n"/>
      <c r="E151" s="10" t="n"/>
      <c r="F151" s="18" t="n"/>
      <c r="G151" s="18" t="n"/>
      <c r="H151" s="14" t="n"/>
      <c r="I151" s="14" t="n"/>
      <c r="J151" s="10" t="n"/>
      <c r="K151" s="15">
        <f>IF(OR(A151="",D151=""),"",D151-H151-I151)</f>
        <v/>
      </c>
      <c r="L151" s="12">
        <f>IF(K151="","",IF(K151&gt;0,"На руках",IF(I151&gt;0,IF(H151&gt;0,"Удержан частично","Удержан"),"Возвращён")))</f>
        <v/>
      </c>
      <c r="M151" s="10" t="n"/>
      <c r="N151" s="19">
        <f>IF(K151="","",IF(K151&gt;0,IFERROR(IF(INDEX(Брони!$F$2:$F$500,MATCH(A151,Брони!$A$2:$A$500,0))="Возвращена",TODAY()-INT(INDEX(Брони!$E$2:$E$500,MATCH(A151,Брони!$A$2:$A$500,0))),""),""),""))</f>
        <v/>
      </c>
      <c r="O151" s="19">
        <f>IF(OR(N151="",Настройки!$B$8=""),"",IF(N151&gt;Настройки!$B$8,1,""))</f>
        <v/>
      </c>
    </row>
    <row r="152">
      <c r="A152" s="9" t="n"/>
      <c r="B152" s="12">
        <f>IF(A152="","",IFERROR(INDEX(Брони!$C$2:$C$500,MATCH(A152,Брони!$A$2:$A$500,0)),""))</f>
        <v/>
      </c>
      <c r="C152" s="12">
        <f>IF(A152="","",IFERROR(INDEX(Брони!$B$2:$B$500,MATCH(A152,Брони!$A$2:$A$500,0)),""))</f>
        <v/>
      </c>
      <c r="D152" s="14" t="n"/>
      <c r="E152" s="10" t="n"/>
      <c r="F152" s="18" t="n"/>
      <c r="G152" s="18" t="n"/>
      <c r="H152" s="14" t="n"/>
      <c r="I152" s="14" t="n"/>
      <c r="J152" s="10" t="n"/>
      <c r="K152" s="15">
        <f>IF(OR(A152="",D152=""),"",D152-H152-I152)</f>
        <v/>
      </c>
      <c r="L152" s="12">
        <f>IF(K152="","",IF(K152&gt;0,"На руках",IF(I152&gt;0,IF(H152&gt;0,"Удержан частично","Удержан"),"Возвращён")))</f>
        <v/>
      </c>
      <c r="M152" s="10" t="n"/>
      <c r="N152" s="19">
        <f>IF(K152="","",IF(K152&gt;0,IFERROR(IF(INDEX(Брони!$F$2:$F$500,MATCH(A152,Брони!$A$2:$A$500,0))="Возвращена",TODAY()-INT(INDEX(Брони!$E$2:$E$500,MATCH(A152,Брони!$A$2:$A$500,0))),""),""),""))</f>
        <v/>
      </c>
      <c r="O152" s="19">
        <f>IF(OR(N152="",Настройки!$B$8=""),"",IF(N152&gt;Настройки!$B$8,1,""))</f>
        <v/>
      </c>
    </row>
    <row r="153">
      <c r="A153" s="9" t="n"/>
      <c r="B153" s="12">
        <f>IF(A153="","",IFERROR(INDEX(Брони!$C$2:$C$500,MATCH(A153,Брони!$A$2:$A$500,0)),""))</f>
        <v/>
      </c>
      <c r="C153" s="12">
        <f>IF(A153="","",IFERROR(INDEX(Брони!$B$2:$B$500,MATCH(A153,Брони!$A$2:$A$500,0)),""))</f>
        <v/>
      </c>
      <c r="D153" s="14" t="n"/>
      <c r="E153" s="10" t="n"/>
      <c r="F153" s="18" t="n"/>
      <c r="G153" s="18" t="n"/>
      <c r="H153" s="14" t="n"/>
      <c r="I153" s="14" t="n"/>
      <c r="J153" s="10" t="n"/>
      <c r="K153" s="15">
        <f>IF(OR(A153="",D153=""),"",D153-H153-I153)</f>
        <v/>
      </c>
      <c r="L153" s="12">
        <f>IF(K153="","",IF(K153&gt;0,"На руках",IF(I153&gt;0,IF(H153&gt;0,"Удержан частично","Удержан"),"Возвращён")))</f>
        <v/>
      </c>
      <c r="M153" s="10" t="n"/>
      <c r="N153" s="19">
        <f>IF(K153="","",IF(K153&gt;0,IFERROR(IF(INDEX(Брони!$F$2:$F$500,MATCH(A153,Брони!$A$2:$A$500,0))="Возвращена",TODAY()-INT(INDEX(Брони!$E$2:$E$500,MATCH(A153,Брони!$A$2:$A$500,0))),""),""),""))</f>
        <v/>
      </c>
      <c r="O153" s="19">
        <f>IF(OR(N153="",Настройки!$B$8=""),"",IF(N153&gt;Настройки!$B$8,1,""))</f>
        <v/>
      </c>
    </row>
    <row r="154">
      <c r="A154" s="9" t="n"/>
      <c r="B154" s="12">
        <f>IF(A154="","",IFERROR(INDEX(Брони!$C$2:$C$500,MATCH(A154,Брони!$A$2:$A$500,0)),""))</f>
        <v/>
      </c>
      <c r="C154" s="12">
        <f>IF(A154="","",IFERROR(INDEX(Брони!$B$2:$B$500,MATCH(A154,Брони!$A$2:$A$500,0)),""))</f>
        <v/>
      </c>
      <c r="D154" s="14" t="n"/>
      <c r="E154" s="10" t="n"/>
      <c r="F154" s="18" t="n"/>
      <c r="G154" s="18" t="n"/>
      <c r="H154" s="14" t="n"/>
      <c r="I154" s="14" t="n"/>
      <c r="J154" s="10" t="n"/>
      <c r="K154" s="15">
        <f>IF(OR(A154="",D154=""),"",D154-H154-I154)</f>
        <v/>
      </c>
      <c r="L154" s="12">
        <f>IF(K154="","",IF(K154&gt;0,"На руках",IF(I154&gt;0,IF(H154&gt;0,"Удержан частично","Удержан"),"Возвращён")))</f>
        <v/>
      </c>
      <c r="M154" s="10" t="n"/>
      <c r="N154" s="19">
        <f>IF(K154="","",IF(K154&gt;0,IFERROR(IF(INDEX(Брони!$F$2:$F$500,MATCH(A154,Брони!$A$2:$A$500,0))="Возвращена",TODAY()-INT(INDEX(Брони!$E$2:$E$500,MATCH(A154,Брони!$A$2:$A$500,0))),""),""),""))</f>
        <v/>
      </c>
      <c r="O154" s="19">
        <f>IF(OR(N154="",Настройки!$B$8=""),"",IF(N154&gt;Настройки!$B$8,1,""))</f>
        <v/>
      </c>
    </row>
    <row r="155">
      <c r="A155" s="9" t="n"/>
      <c r="B155" s="12">
        <f>IF(A155="","",IFERROR(INDEX(Брони!$C$2:$C$500,MATCH(A155,Брони!$A$2:$A$500,0)),""))</f>
        <v/>
      </c>
      <c r="C155" s="12">
        <f>IF(A155="","",IFERROR(INDEX(Брони!$B$2:$B$500,MATCH(A155,Брони!$A$2:$A$500,0)),""))</f>
        <v/>
      </c>
      <c r="D155" s="14" t="n"/>
      <c r="E155" s="10" t="n"/>
      <c r="F155" s="18" t="n"/>
      <c r="G155" s="18" t="n"/>
      <c r="H155" s="14" t="n"/>
      <c r="I155" s="14" t="n"/>
      <c r="J155" s="10" t="n"/>
      <c r="K155" s="15">
        <f>IF(OR(A155="",D155=""),"",D155-H155-I155)</f>
        <v/>
      </c>
      <c r="L155" s="12">
        <f>IF(K155="","",IF(K155&gt;0,"На руках",IF(I155&gt;0,IF(H155&gt;0,"Удержан частично","Удержан"),"Возвращён")))</f>
        <v/>
      </c>
      <c r="M155" s="10" t="n"/>
      <c r="N155" s="19">
        <f>IF(K155="","",IF(K155&gt;0,IFERROR(IF(INDEX(Брони!$F$2:$F$500,MATCH(A155,Брони!$A$2:$A$500,0))="Возвращена",TODAY()-INT(INDEX(Брони!$E$2:$E$500,MATCH(A155,Брони!$A$2:$A$500,0))),""),""),""))</f>
        <v/>
      </c>
      <c r="O155" s="19">
        <f>IF(OR(N155="",Настройки!$B$8=""),"",IF(N155&gt;Настройки!$B$8,1,""))</f>
        <v/>
      </c>
    </row>
    <row r="156">
      <c r="A156" s="9" t="n"/>
      <c r="B156" s="12">
        <f>IF(A156="","",IFERROR(INDEX(Брони!$C$2:$C$500,MATCH(A156,Брони!$A$2:$A$500,0)),""))</f>
        <v/>
      </c>
      <c r="C156" s="12">
        <f>IF(A156="","",IFERROR(INDEX(Брони!$B$2:$B$500,MATCH(A156,Брони!$A$2:$A$500,0)),""))</f>
        <v/>
      </c>
      <c r="D156" s="14" t="n"/>
      <c r="E156" s="10" t="n"/>
      <c r="F156" s="18" t="n"/>
      <c r="G156" s="18" t="n"/>
      <c r="H156" s="14" t="n"/>
      <c r="I156" s="14" t="n"/>
      <c r="J156" s="10" t="n"/>
      <c r="K156" s="15">
        <f>IF(OR(A156="",D156=""),"",D156-H156-I156)</f>
        <v/>
      </c>
      <c r="L156" s="12">
        <f>IF(K156="","",IF(K156&gt;0,"На руках",IF(I156&gt;0,IF(H156&gt;0,"Удержан частично","Удержан"),"Возвращён")))</f>
        <v/>
      </c>
      <c r="M156" s="10" t="n"/>
      <c r="N156" s="19">
        <f>IF(K156="","",IF(K156&gt;0,IFERROR(IF(INDEX(Брони!$F$2:$F$500,MATCH(A156,Брони!$A$2:$A$500,0))="Возвращена",TODAY()-INT(INDEX(Брони!$E$2:$E$500,MATCH(A156,Брони!$A$2:$A$500,0))),""),""),""))</f>
        <v/>
      </c>
      <c r="O156" s="19">
        <f>IF(OR(N156="",Настройки!$B$8=""),"",IF(N156&gt;Настройки!$B$8,1,""))</f>
        <v/>
      </c>
    </row>
    <row r="157">
      <c r="A157" s="9" t="n"/>
      <c r="B157" s="12">
        <f>IF(A157="","",IFERROR(INDEX(Брони!$C$2:$C$500,MATCH(A157,Брони!$A$2:$A$500,0)),""))</f>
        <v/>
      </c>
      <c r="C157" s="12">
        <f>IF(A157="","",IFERROR(INDEX(Брони!$B$2:$B$500,MATCH(A157,Брони!$A$2:$A$500,0)),""))</f>
        <v/>
      </c>
      <c r="D157" s="14" t="n"/>
      <c r="E157" s="10" t="n"/>
      <c r="F157" s="18" t="n"/>
      <c r="G157" s="18" t="n"/>
      <c r="H157" s="14" t="n"/>
      <c r="I157" s="14" t="n"/>
      <c r="J157" s="10" t="n"/>
      <c r="K157" s="15">
        <f>IF(OR(A157="",D157=""),"",D157-H157-I157)</f>
        <v/>
      </c>
      <c r="L157" s="12">
        <f>IF(K157="","",IF(K157&gt;0,"На руках",IF(I157&gt;0,IF(H157&gt;0,"Удержан частично","Удержан"),"Возвращён")))</f>
        <v/>
      </c>
      <c r="M157" s="10" t="n"/>
      <c r="N157" s="19">
        <f>IF(K157="","",IF(K157&gt;0,IFERROR(IF(INDEX(Брони!$F$2:$F$500,MATCH(A157,Брони!$A$2:$A$500,0))="Возвращена",TODAY()-INT(INDEX(Брони!$E$2:$E$500,MATCH(A157,Брони!$A$2:$A$500,0))),""),""),""))</f>
        <v/>
      </c>
      <c r="O157" s="19">
        <f>IF(OR(N157="",Настройки!$B$8=""),"",IF(N157&gt;Настройки!$B$8,1,""))</f>
        <v/>
      </c>
    </row>
    <row r="158">
      <c r="A158" s="9" t="n"/>
      <c r="B158" s="12">
        <f>IF(A158="","",IFERROR(INDEX(Брони!$C$2:$C$500,MATCH(A158,Брони!$A$2:$A$500,0)),""))</f>
        <v/>
      </c>
      <c r="C158" s="12">
        <f>IF(A158="","",IFERROR(INDEX(Брони!$B$2:$B$500,MATCH(A158,Брони!$A$2:$A$500,0)),""))</f>
        <v/>
      </c>
      <c r="D158" s="14" t="n"/>
      <c r="E158" s="10" t="n"/>
      <c r="F158" s="18" t="n"/>
      <c r="G158" s="18" t="n"/>
      <c r="H158" s="14" t="n"/>
      <c r="I158" s="14" t="n"/>
      <c r="J158" s="10" t="n"/>
      <c r="K158" s="15">
        <f>IF(OR(A158="",D158=""),"",D158-H158-I158)</f>
        <v/>
      </c>
      <c r="L158" s="12">
        <f>IF(K158="","",IF(K158&gt;0,"На руках",IF(I158&gt;0,IF(H158&gt;0,"Удержан частично","Удержан"),"Возвращён")))</f>
        <v/>
      </c>
      <c r="M158" s="10" t="n"/>
      <c r="N158" s="19">
        <f>IF(K158="","",IF(K158&gt;0,IFERROR(IF(INDEX(Брони!$F$2:$F$500,MATCH(A158,Брони!$A$2:$A$500,0))="Возвращена",TODAY()-INT(INDEX(Брони!$E$2:$E$500,MATCH(A158,Брони!$A$2:$A$500,0))),""),""),""))</f>
        <v/>
      </c>
      <c r="O158" s="19">
        <f>IF(OR(N158="",Настройки!$B$8=""),"",IF(N158&gt;Настройки!$B$8,1,""))</f>
        <v/>
      </c>
    </row>
    <row r="159">
      <c r="A159" s="9" t="n"/>
      <c r="B159" s="12">
        <f>IF(A159="","",IFERROR(INDEX(Брони!$C$2:$C$500,MATCH(A159,Брони!$A$2:$A$500,0)),""))</f>
        <v/>
      </c>
      <c r="C159" s="12">
        <f>IF(A159="","",IFERROR(INDEX(Брони!$B$2:$B$500,MATCH(A159,Брони!$A$2:$A$500,0)),""))</f>
        <v/>
      </c>
      <c r="D159" s="14" t="n"/>
      <c r="E159" s="10" t="n"/>
      <c r="F159" s="18" t="n"/>
      <c r="G159" s="18" t="n"/>
      <c r="H159" s="14" t="n"/>
      <c r="I159" s="14" t="n"/>
      <c r="J159" s="10" t="n"/>
      <c r="K159" s="15">
        <f>IF(OR(A159="",D159=""),"",D159-H159-I159)</f>
        <v/>
      </c>
      <c r="L159" s="12">
        <f>IF(K159="","",IF(K159&gt;0,"На руках",IF(I159&gt;0,IF(H159&gt;0,"Удержан частично","Удержан"),"Возвращён")))</f>
        <v/>
      </c>
      <c r="M159" s="10" t="n"/>
      <c r="N159" s="19">
        <f>IF(K159="","",IF(K159&gt;0,IFERROR(IF(INDEX(Брони!$F$2:$F$500,MATCH(A159,Брони!$A$2:$A$500,0))="Возвращена",TODAY()-INT(INDEX(Брони!$E$2:$E$500,MATCH(A159,Брони!$A$2:$A$500,0))),""),""),""))</f>
        <v/>
      </c>
      <c r="O159" s="19">
        <f>IF(OR(N159="",Настройки!$B$8=""),"",IF(N159&gt;Настройки!$B$8,1,""))</f>
        <v/>
      </c>
    </row>
    <row r="160">
      <c r="A160" s="9" t="n"/>
      <c r="B160" s="12">
        <f>IF(A160="","",IFERROR(INDEX(Брони!$C$2:$C$500,MATCH(A160,Брони!$A$2:$A$500,0)),""))</f>
        <v/>
      </c>
      <c r="C160" s="12">
        <f>IF(A160="","",IFERROR(INDEX(Брони!$B$2:$B$500,MATCH(A160,Брони!$A$2:$A$500,0)),""))</f>
        <v/>
      </c>
      <c r="D160" s="14" t="n"/>
      <c r="E160" s="10" t="n"/>
      <c r="F160" s="18" t="n"/>
      <c r="G160" s="18" t="n"/>
      <c r="H160" s="14" t="n"/>
      <c r="I160" s="14" t="n"/>
      <c r="J160" s="10" t="n"/>
      <c r="K160" s="15">
        <f>IF(OR(A160="",D160=""),"",D160-H160-I160)</f>
        <v/>
      </c>
      <c r="L160" s="12">
        <f>IF(K160="","",IF(K160&gt;0,"На руках",IF(I160&gt;0,IF(H160&gt;0,"Удержан частично","Удержан"),"Возвращён")))</f>
        <v/>
      </c>
      <c r="M160" s="10" t="n"/>
      <c r="N160" s="19">
        <f>IF(K160="","",IF(K160&gt;0,IFERROR(IF(INDEX(Брони!$F$2:$F$500,MATCH(A160,Брони!$A$2:$A$500,0))="Возвращена",TODAY()-INT(INDEX(Брони!$E$2:$E$500,MATCH(A160,Брони!$A$2:$A$500,0))),""),""),""))</f>
        <v/>
      </c>
      <c r="O160" s="19">
        <f>IF(OR(N160="",Настройки!$B$8=""),"",IF(N160&gt;Настройки!$B$8,1,""))</f>
        <v/>
      </c>
    </row>
    <row r="161">
      <c r="A161" s="9" t="n"/>
      <c r="B161" s="12">
        <f>IF(A161="","",IFERROR(INDEX(Брони!$C$2:$C$500,MATCH(A161,Брони!$A$2:$A$500,0)),""))</f>
        <v/>
      </c>
      <c r="C161" s="12">
        <f>IF(A161="","",IFERROR(INDEX(Брони!$B$2:$B$500,MATCH(A161,Брони!$A$2:$A$500,0)),""))</f>
        <v/>
      </c>
      <c r="D161" s="14" t="n"/>
      <c r="E161" s="10" t="n"/>
      <c r="F161" s="18" t="n"/>
      <c r="G161" s="18" t="n"/>
      <c r="H161" s="14" t="n"/>
      <c r="I161" s="14" t="n"/>
      <c r="J161" s="10" t="n"/>
      <c r="K161" s="15">
        <f>IF(OR(A161="",D161=""),"",D161-H161-I161)</f>
        <v/>
      </c>
      <c r="L161" s="12">
        <f>IF(K161="","",IF(K161&gt;0,"На руках",IF(I161&gt;0,IF(H161&gt;0,"Удержан частично","Удержан"),"Возвращён")))</f>
        <v/>
      </c>
      <c r="M161" s="10" t="n"/>
      <c r="N161" s="19">
        <f>IF(K161="","",IF(K161&gt;0,IFERROR(IF(INDEX(Брони!$F$2:$F$500,MATCH(A161,Брони!$A$2:$A$500,0))="Возвращена",TODAY()-INT(INDEX(Брони!$E$2:$E$500,MATCH(A161,Брони!$A$2:$A$500,0))),""),""),""))</f>
        <v/>
      </c>
      <c r="O161" s="19">
        <f>IF(OR(N161="",Настройки!$B$8=""),"",IF(N161&gt;Настройки!$B$8,1,""))</f>
        <v/>
      </c>
    </row>
    <row r="162">
      <c r="A162" s="9" t="n"/>
      <c r="B162" s="12">
        <f>IF(A162="","",IFERROR(INDEX(Брони!$C$2:$C$500,MATCH(A162,Брони!$A$2:$A$500,0)),""))</f>
        <v/>
      </c>
      <c r="C162" s="12">
        <f>IF(A162="","",IFERROR(INDEX(Брони!$B$2:$B$500,MATCH(A162,Брони!$A$2:$A$500,0)),""))</f>
        <v/>
      </c>
      <c r="D162" s="14" t="n"/>
      <c r="E162" s="10" t="n"/>
      <c r="F162" s="18" t="n"/>
      <c r="G162" s="18" t="n"/>
      <c r="H162" s="14" t="n"/>
      <c r="I162" s="14" t="n"/>
      <c r="J162" s="10" t="n"/>
      <c r="K162" s="15">
        <f>IF(OR(A162="",D162=""),"",D162-H162-I162)</f>
        <v/>
      </c>
      <c r="L162" s="12">
        <f>IF(K162="","",IF(K162&gt;0,"На руках",IF(I162&gt;0,IF(H162&gt;0,"Удержан частично","Удержан"),"Возвращён")))</f>
        <v/>
      </c>
      <c r="M162" s="10" t="n"/>
      <c r="N162" s="19">
        <f>IF(K162="","",IF(K162&gt;0,IFERROR(IF(INDEX(Брони!$F$2:$F$500,MATCH(A162,Брони!$A$2:$A$500,0))="Возвращена",TODAY()-INT(INDEX(Брони!$E$2:$E$500,MATCH(A162,Брони!$A$2:$A$500,0))),""),""),""))</f>
        <v/>
      </c>
      <c r="O162" s="19">
        <f>IF(OR(N162="",Настройки!$B$8=""),"",IF(N162&gt;Настройки!$B$8,1,""))</f>
        <v/>
      </c>
    </row>
    <row r="163">
      <c r="A163" s="9" t="n"/>
      <c r="B163" s="12">
        <f>IF(A163="","",IFERROR(INDEX(Брони!$C$2:$C$500,MATCH(A163,Брони!$A$2:$A$500,0)),""))</f>
        <v/>
      </c>
      <c r="C163" s="12">
        <f>IF(A163="","",IFERROR(INDEX(Брони!$B$2:$B$500,MATCH(A163,Брони!$A$2:$A$500,0)),""))</f>
        <v/>
      </c>
      <c r="D163" s="14" t="n"/>
      <c r="E163" s="10" t="n"/>
      <c r="F163" s="18" t="n"/>
      <c r="G163" s="18" t="n"/>
      <c r="H163" s="14" t="n"/>
      <c r="I163" s="14" t="n"/>
      <c r="J163" s="10" t="n"/>
      <c r="K163" s="15">
        <f>IF(OR(A163="",D163=""),"",D163-H163-I163)</f>
        <v/>
      </c>
      <c r="L163" s="12">
        <f>IF(K163="","",IF(K163&gt;0,"На руках",IF(I163&gt;0,IF(H163&gt;0,"Удержан частично","Удержан"),"Возвращён")))</f>
        <v/>
      </c>
      <c r="M163" s="10" t="n"/>
      <c r="N163" s="19">
        <f>IF(K163="","",IF(K163&gt;0,IFERROR(IF(INDEX(Брони!$F$2:$F$500,MATCH(A163,Брони!$A$2:$A$500,0))="Возвращена",TODAY()-INT(INDEX(Брони!$E$2:$E$500,MATCH(A163,Брони!$A$2:$A$500,0))),""),""),""))</f>
        <v/>
      </c>
      <c r="O163" s="19">
        <f>IF(OR(N163="",Настройки!$B$8=""),"",IF(N163&gt;Настройки!$B$8,1,""))</f>
        <v/>
      </c>
    </row>
    <row r="164">
      <c r="A164" s="9" t="n"/>
      <c r="B164" s="12">
        <f>IF(A164="","",IFERROR(INDEX(Брони!$C$2:$C$500,MATCH(A164,Брони!$A$2:$A$500,0)),""))</f>
        <v/>
      </c>
      <c r="C164" s="12">
        <f>IF(A164="","",IFERROR(INDEX(Брони!$B$2:$B$500,MATCH(A164,Брони!$A$2:$A$500,0)),""))</f>
        <v/>
      </c>
      <c r="D164" s="14" t="n"/>
      <c r="E164" s="10" t="n"/>
      <c r="F164" s="18" t="n"/>
      <c r="G164" s="18" t="n"/>
      <c r="H164" s="14" t="n"/>
      <c r="I164" s="14" t="n"/>
      <c r="J164" s="10" t="n"/>
      <c r="K164" s="15">
        <f>IF(OR(A164="",D164=""),"",D164-H164-I164)</f>
        <v/>
      </c>
      <c r="L164" s="12">
        <f>IF(K164="","",IF(K164&gt;0,"На руках",IF(I164&gt;0,IF(H164&gt;0,"Удержан частично","Удержан"),"Возвращён")))</f>
        <v/>
      </c>
      <c r="M164" s="10" t="n"/>
      <c r="N164" s="19">
        <f>IF(K164="","",IF(K164&gt;0,IFERROR(IF(INDEX(Брони!$F$2:$F$500,MATCH(A164,Брони!$A$2:$A$500,0))="Возвращена",TODAY()-INT(INDEX(Брони!$E$2:$E$500,MATCH(A164,Брони!$A$2:$A$500,0))),""),""),""))</f>
        <v/>
      </c>
      <c r="O164" s="19">
        <f>IF(OR(N164="",Настройки!$B$8=""),"",IF(N164&gt;Настройки!$B$8,1,""))</f>
        <v/>
      </c>
    </row>
    <row r="165">
      <c r="A165" s="9" t="n"/>
      <c r="B165" s="12">
        <f>IF(A165="","",IFERROR(INDEX(Брони!$C$2:$C$500,MATCH(A165,Брони!$A$2:$A$500,0)),""))</f>
        <v/>
      </c>
      <c r="C165" s="12">
        <f>IF(A165="","",IFERROR(INDEX(Брони!$B$2:$B$500,MATCH(A165,Брони!$A$2:$A$500,0)),""))</f>
        <v/>
      </c>
      <c r="D165" s="14" t="n"/>
      <c r="E165" s="10" t="n"/>
      <c r="F165" s="18" t="n"/>
      <c r="G165" s="18" t="n"/>
      <c r="H165" s="14" t="n"/>
      <c r="I165" s="14" t="n"/>
      <c r="J165" s="10" t="n"/>
      <c r="K165" s="15">
        <f>IF(OR(A165="",D165=""),"",D165-H165-I165)</f>
        <v/>
      </c>
      <c r="L165" s="12">
        <f>IF(K165="","",IF(K165&gt;0,"На руках",IF(I165&gt;0,IF(H165&gt;0,"Удержан частично","Удержан"),"Возвращён")))</f>
        <v/>
      </c>
      <c r="M165" s="10" t="n"/>
      <c r="N165" s="19">
        <f>IF(K165="","",IF(K165&gt;0,IFERROR(IF(INDEX(Брони!$F$2:$F$500,MATCH(A165,Брони!$A$2:$A$500,0))="Возвращена",TODAY()-INT(INDEX(Брони!$E$2:$E$500,MATCH(A165,Брони!$A$2:$A$500,0))),""),""),""))</f>
        <v/>
      </c>
      <c r="O165" s="19">
        <f>IF(OR(N165="",Настройки!$B$8=""),"",IF(N165&gt;Настройки!$B$8,1,""))</f>
        <v/>
      </c>
    </row>
    <row r="166">
      <c r="A166" s="9" t="n"/>
      <c r="B166" s="12">
        <f>IF(A166="","",IFERROR(INDEX(Брони!$C$2:$C$500,MATCH(A166,Брони!$A$2:$A$500,0)),""))</f>
        <v/>
      </c>
      <c r="C166" s="12">
        <f>IF(A166="","",IFERROR(INDEX(Брони!$B$2:$B$500,MATCH(A166,Брони!$A$2:$A$500,0)),""))</f>
        <v/>
      </c>
      <c r="D166" s="14" t="n"/>
      <c r="E166" s="10" t="n"/>
      <c r="F166" s="18" t="n"/>
      <c r="G166" s="18" t="n"/>
      <c r="H166" s="14" t="n"/>
      <c r="I166" s="14" t="n"/>
      <c r="J166" s="10" t="n"/>
      <c r="K166" s="15">
        <f>IF(OR(A166="",D166=""),"",D166-H166-I166)</f>
        <v/>
      </c>
      <c r="L166" s="12">
        <f>IF(K166="","",IF(K166&gt;0,"На руках",IF(I166&gt;0,IF(H166&gt;0,"Удержан частично","Удержан"),"Возвращён")))</f>
        <v/>
      </c>
      <c r="M166" s="10" t="n"/>
      <c r="N166" s="19">
        <f>IF(K166="","",IF(K166&gt;0,IFERROR(IF(INDEX(Брони!$F$2:$F$500,MATCH(A166,Брони!$A$2:$A$500,0))="Возвращена",TODAY()-INT(INDEX(Брони!$E$2:$E$500,MATCH(A166,Брони!$A$2:$A$500,0))),""),""),""))</f>
        <v/>
      </c>
      <c r="O166" s="19">
        <f>IF(OR(N166="",Настройки!$B$8=""),"",IF(N166&gt;Настройки!$B$8,1,""))</f>
        <v/>
      </c>
    </row>
    <row r="167">
      <c r="A167" s="9" t="n"/>
      <c r="B167" s="12">
        <f>IF(A167="","",IFERROR(INDEX(Брони!$C$2:$C$500,MATCH(A167,Брони!$A$2:$A$500,0)),""))</f>
        <v/>
      </c>
      <c r="C167" s="12">
        <f>IF(A167="","",IFERROR(INDEX(Брони!$B$2:$B$500,MATCH(A167,Брони!$A$2:$A$500,0)),""))</f>
        <v/>
      </c>
      <c r="D167" s="14" t="n"/>
      <c r="E167" s="10" t="n"/>
      <c r="F167" s="18" t="n"/>
      <c r="G167" s="18" t="n"/>
      <c r="H167" s="14" t="n"/>
      <c r="I167" s="14" t="n"/>
      <c r="J167" s="10" t="n"/>
      <c r="K167" s="15">
        <f>IF(OR(A167="",D167=""),"",D167-H167-I167)</f>
        <v/>
      </c>
      <c r="L167" s="12">
        <f>IF(K167="","",IF(K167&gt;0,"На руках",IF(I167&gt;0,IF(H167&gt;0,"Удержан частично","Удержан"),"Возвращён")))</f>
        <v/>
      </c>
      <c r="M167" s="10" t="n"/>
      <c r="N167" s="19">
        <f>IF(K167="","",IF(K167&gt;0,IFERROR(IF(INDEX(Брони!$F$2:$F$500,MATCH(A167,Брони!$A$2:$A$500,0))="Возвращена",TODAY()-INT(INDEX(Брони!$E$2:$E$500,MATCH(A167,Брони!$A$2:$A$500,0))),""),""),""))</f>
        <v/>
      </c>
      <c r="O167" s="19">
        <f>IF(OR(N167="",Настройки!$B$8=""),"",IF(N167&gt;Настройки!$B$8,1,""))</f>
        <v/>
      </c>
    </row>
    <row r="168">
      <c r="A168" s="9" t="n"/>
      <c r="B168" s="12">
        <f>IF(A168="","",IFERROR(INDEX(Брони!$C$2:$C$500,MATCH(A168,Брони!$A$2:$A$500,0)),""))</f>
        <v/>
      </c>
      <c r="C168" s="12">
        <f>IF(A168="","",IFERROR(INDEX(Брони!$B$2:$B$500,MATCH(A168,Брони!$A$2:$A$500,0)),""))</f>
        <v/>
      </c>
      <c r="D168" s="14" t="n"/>
      <c r="E168" s="10" t="n"/>
      <c r="F168" s="18" t="n"/>
      <c r="G168" s="18" t="n"/>
      <c r="H168" s="14" t="n"/>
      <c r="I168" s="14" t="n"/>
      <c r="J168" s="10" t="n"/>
      <c r="K168" s="15">
        <f>IF(OR(A168="",D168=""),"",D168-H168-I168)</f>
        <v/>
      </c>
      <c r="L168" s="12">
        <f>IF(K168="","",IF(K168&gt;0,"На руках",IF(I168&gt;0,IF(H168&gt;0,"Удержан частично","Удержан"),"Возвращён")))</f>
        <v/>
      </c>
      <c r="M168" s="10" t="n"/>
      <c r="N168" s="19">
        <f>IF(K168="","",IF(K168&gt;0,IFERROR(IF(INDEX(Брони!$F$2:$F$500,MATCH(A168,Брони!$A$2:$A$500,0))="Возвращена",TODAY()-INT(INDEX(Брони!$E$2:$E$500,MATCH(A168,Брони!$A$2:$A$500,0))),""),""),""))</f>
        <v/>
      </c>
      <c r="O168" s="19">
        <f>IF(OR(N168="",Настройки!$B$8=""),"",IF(N168&gt;Настройки!$B$8,1,""))</f>
        <v/>
      </c>
    </row>
    <row r="169">
      <c r="A169" s="9" t="n"/>
      <c r="B169" s="12">
        <f>IF(A169="","",IFERROR(INDEX(Брони!$C$2:$C$500,MATCH(A169,Брони!$A$2:$A$500,0)),""))</f>
        <v/>
      </c>
      <c r="C169" s="12">
        <f>IF(A169="","",IFERROR(INDEX(Брони!$B$2:$B$500,MATCH(A169,Брони!$A$2:$A$500,0)),""))</f>
        <v/>
      </c>
      <c r="D169" s="14" t="n"/>
      <c r="E169" s="10" t="n"/>
      <c r="F169" s="18" t="n"/>
      <c r="G169" s="18" t="n"/>
      <c r="H169" s="14" t="n"/>
      <c r="I169" s="14" t="n"/>
      <c r="J169" s="10" t="n"/>
      <c r="K169" s="15">
        <f>IF(OR(A169="",D169=""),"",D169-H169-I169)</f>
        <v/>
      </c>
      <c r="L169" s="12">
        <f>IF(K169="","",IF(K169&gt;0,"На руках",IF(I169&gt;0,IF(H169&gt;0,"Удержан частично","Удержан"),"Возвращён")))</f>
        <v/>
      </c>
      <c r="M169" s="10" t="n"/>
      <c r="N169" s="19">
        <f>IF(K169="","",IF(K169&gt;0,IFERROR(IF(INDEX(Брони!$F$2:$F$500,MATCH(A169,Брони!$A$2:$A$500,0))="Возвращена",TODAY()-INT(INDEX(Брони!$E$2:$E$500,MATCH(A169,Брони!$A$2:$A$500,0))),""),""),""))</f>
        <v/>
      </c>
      <c r="O169" s="19">
        <f>IF(OR(N169="",Настройки!$B$8=""),"",IF(N169&gt;Настройки!$B$8,1,""))</f>
        <v/>
      </c>
    </row>
    <row r="170">
      <c r="A170" s="9" t="n"/>
      <c r="B170" s="12">
        <f>IF(A170="","",IFERROR(INDEX(Брони!$C$2:$C$500,MATCH(A170,Брони!$A$2:$A$500,0)),""))</f>
        <v/>
      </c>
      <c r="C170" s="12">
        <f>IF(A170="","",IFERROR(INDEX(Брони!$B$2:$B$500,MATCH(A170,Брони!$A$2:$A$500,0)),""))</f>
        <v/>
      </c>
      <c r="D170" s="14" t="n"/>
      <c r="E170" s="10" t="n"/>
      <c r="F170" s="18" t="n"/>
      <c r="G170" s="18" t="n"/>
      <c r="H170" s="14" t="n"/>
      <c r="I170" s="14" t="n"/>
      <c r="J170" s="10" t="n"/>
      <c r="K170" s="15">
        <f>IF(OR(A170="",D170=""),"",D170-H170-I170)</f>
        <v/>
      </c>
      <c r="L170" s="12">
        <f>IF(K170="","",IF(K170&gt;0,"На руках",IF(I170&gt;0,IF(H170&gt;0,"Удержан частично","Удержан"),"Возвращён")))</f>
        <v/>
      </c>
      <c r="M170" s="10" t="n"/>
      <c r="N170" s="19">
        <f>IF(K170="","",IF(K170&gt;0,IFERROR(IF(INDEX(Брони!$F$2:$F$500,MATCH(A170,Брони!$A$2:$A$500,0))="Возвращена",TODAY()-INT(INDEX(Брони!$E$2:$E$500,MATCH(A170,Брони!$A$2:$A$500,0))),""),""),""))</f>
        <v/>
      </c>
      <c r="O170" s="19">
        <f>IF(OR(N170="",Настройки!$B$8=""),"",IF(N170&gt;Настройки!$B$8,1,""))</f>
        <v/>
      </c>
    </row>
    <row r="171">
      <c r="A171" s="9" t="n"/>
      <c r="B171" s="12">
        <f>IF(A171="","",IFERROR(INDEX(Брони!$C$2:$C$500,MATCH(A171,Брони!$A$2:$A$500,0)),""))</f>
        <v/>
      </c>
      <c r="C171" s="12">
        <f>IF(A171="","",IFERROR(INDEX(Брони!$B$2:$B$500,MATCH(A171,Брони!$A$2:$A$500,0)),""))</f>
        <v/>
      </c>
      <c r="D171" s="14" t="n"/>
      <c r="E171" s="10" t="n"/>
      <c r="F171" s="18" t="n"/>
      <c r="G171" s="18" t="n"/>
      <c r="H171" s="14" t="n"/>
      <c r="I171" s="14" t="n"/>
      <c r="J171" s="10" t="n"/>
      <c r="K171" s="15">
        <f>IF(OR(A171="",D171=""),"",D171-H171-I171)</f>
        <v/>
      </c>
      <c r="L171" s="12">
        <f>IF(K171="","",IF(K171&gt;0,"На руках",IF(I171&gt;0,IF(H171&gt;0,"Удержан частично","Удержан"),"Возвращён")))</f>
        <v/>
      </c>
      <c r="M171" s="10" t="n"/>
      <c r="N171" s="19">
        <f>IF(K171="","",IF(K171&gt;0,IFERROR(IF(INDEX(Брони!$F$2:$F$500,MATCH(A171,Брони!$A$2:$A$500,0))="Возвращена",TODAY()-INT(INDEX(Брони!$E$2:$E$500,MATCH(A171,Брони!$A$2:$A$500,0))),""),""),""))</f>
        <v/>
      </c>
      <c r="O171" s="19">
        <f>IF(OR(N171="",Настройки!$B$8=""),"",IF(N171&gt;Настройки!$B$8,1,""))</f>
        <v/>
      </c>
    </row>
    <row r="172">
      <c r="A172" s="9" t="n"/>
      <c r="B172" s="12">
        <f>IF(A172="","",IFERROR(INDEX(Брони!$C$2:$C$500,MATCH(A172,Брони!$A$2:$A$500,0)),""))</f>
        <v/>
      </c>
      <c r="C172" s="12">
        <f>IF(A172="","",IFERROR(INDEX(Брони!$B$2:$B$500,MATCH(A172,Брони!$A$2:$A$500,0)),""))</f>
        <v/>
      </c>
      <c r="D172" s="14" t="n"/>
      <c r="E172" s="10" t="n"/>
      <c r="F172" s="18" t="n"/>
      <c r="G172" s="18" t="n"/>
      <c r="H172" s="14" t="n"/>
      <c r="I172" s="14" t="n"/>
      <c r="J172" s="10" t="n"/>
      <c r="K172" s="15">
        <f>IF(OR(A172="",D172=""),"",D172-H172-I172)</f>
        <v/>
      </c>
      <c r="L172" s="12">
        <f>IF(K172="","",IF(K172&gt;0,"На руках",IF(I172&gt;0,IF(H172&gt;0,"Удержан частично","Удержан"),"Возвращён")))</f>
        <v/>
      </c>
      <c r="M172" s="10" t="n"/>
      <c r="N172" s="19">
        <f>IF(K172="","",IF(K172&gt;0,IFERROR(IF(INDEX(Брони!$F$2:$F$500,MATCH(A172,Брони!$A$2:$A$500,0))="Возвращена",TODAY()-INT(INDEX(Брони!$E$2:$E$500,MATCH(A172,Брони!$A$2:$A$500,0))),""),""),""))</f>
        <v/>
      </c>
      <c r="O172" s="19">
        <f>IF(OR(N172="",Настройки!$B$8=""),"",IF(N172&gt;Настройки!$B$8,1,""))</f>
        <v/>
      </c>
    </row>
    <row r="173">
      <c r="A173" s="9" t="n"/>
      <c r="B173" s="12">
        <f>IF(A173="","",IFERROR(INDEX(Брони!$C$2:$C$500,MATCH(A173,Брони!$A$2:$A$500,0)),""))</f>
        <v/>
      </c>
      <c r="C173" s="12">
        <f>IF(A173="","",IFERROR(INDEX(Брони!$B$2:$B$500,MATCH(A173,Брони!$A$2:$A$500,0)),""))</f>
        <v/>
      </c>
      <c r="D173" s="14" t="n"/>
      <c r="E173" s="10" t="n"/>
      <c r="F173" s="18" t="n"/>
      <c r="G173" s="18" t="n"/>
      <c r="H173" s="14" t="n"/>
      <c r="I173" s="14" t="n"/>
      <c r="J173" s="10" t="n"/>
      <c r="K173" s="15">
        <f>IF(OR(A173="",D173=""),"",D173-H173-I173)</f>
        <v/>
      </c>
      <c r="L173" s="12">
        <f>IF(K173="","",IF(K173&gt;0,"На руках",IF(I173&gt;0,IF(H173&gt;0,"Удержан частично","Удержан"),"Возвращён")))</f>
        <v/>
      </c>
      <c r="M173" s="10" t="n"/>
      <c r="N173" s="19">
        <f>IF(K173="","",IF(K173&gt;0,IFERROR(IF(INDEX(Брони!$F$2:$F$500,MATCH(A173,Брони!$A$2:$A$500,0))="Возвращена",TODAY()-INT(INDEX(Брони!$E$2:$E$500,MATCH(A173,Брони!$A$2:$A$500,0))),""),""),""))</f>
        <v/>
      </c>
      <c r="O173" s="19">
        <f>IF(OR(N173="",Настройки!$B$8=""),"",IF(N173&gt;Настройки!$B$8,1,""))</f>
        <v/>
      </c>
    </row>
    <row r="174">
      <c r="A174" s="9" t="n"/>
      <c r="B174" s="12">
        <f>IF(A174="","",IFERROR(INDEX(Брони!$C$2:$C$500,MATCH(A174,Брони!$A$2:$A$500,0)),""))</f>
        <v/>
      </c>
      <c r="C174" s="12">
        <f>IF(A174="","",IFERROR(INDEX(Брони!$B$2:$B$500,MATCH(A174,Брони!$A$2:$A$500,0)),""))</f>
        <v/>
      </c>
      <c r="D174" s="14" t="n"/>
      <c r="E174" s="10" t="n"/>
      <c r="F174" s="18" t="n"/>
      <c r="G174" s="18" t="n"/>
      <c r="H174" s="14" t="n"/>
      <c r="I174" s="14" t="n"/>
      <c r="J174" s="10" t="n"/>
      <c r="K174" s="15">
        <f>IF(OR(A174="",D174=""),"",D174-H174-I174)</f>
        <v/>
      </c>
      <c r="L174" s="12">
        <f>IF(K174="","",IF(K174&gt;0,"На руках",IF(I174&gt;0,IF(H174&gt;0,"Удержан частично","Удержан"),"Возвращён")))</f>
        <v/>
      </c>
      <c r="M174" s="10" t="n"/>
      <c r="N174" s="19">
        <f>IF(K174="","",IF(K174&gt;0,IFERROR(IF(INDEX(Брони!$F$2:$F$500,MATCH(A174,Брони!$A$2:$A$500,0))="Возвращена",TODAY()-INT(INDEX(Брони!$E$2:$E$500,MATCH(A174,Брони!$A$2:$A$500,0))),""),""),""))</f>
        <v/>
      </c>
      <c r="O174" s="19">
        <f>IF(OR(N174="",Настройки!$B$8=""),"",IF(N174&gt;Настройки!$B$8,1,""))</f>
        <v/>
      </c>
    </row>
    <row r="175">
      <c r="A175" s="9" t="n"/>
      <c r="B175" s="12">
        <f>IF(A175="","",IFERROR(INDEX(Брони!$C$2:$C$500,MATCH(A175,Брони!$A$2:$A$500,0)),""))</f>
        <v/>
      </c>
      <c r="C175" s="12">
        <f>IF(A175="","",IFERROR(INDEX(Брони!$B$2:$B$500,MATCH(A175,Брони!$A$2:$A$500,0)),""))</f>
        <v/>
      </c>
      <c r="D175" s="14" t="n"/>
      <c r="E175" s="10" t="n"/>
      <c r="F175" s="18" t="n"/>
      <c r="G175" s="18" t="n"/>
      <c r="H175" s="14" t="n"/>
      <c r="I175" s="14" t="n"/>
      <c r="J175" s="10" t="n"/>
      <c r="K175" s="15">
        <f>IF(OR(A175="",D175=""),"",D175-H175-I175)</f>
        <v/>
      </c>
      <c r="L175" s="12">
        <f>IF(K175="","",IF(K175&gt;0,"На руках",IF(I175&gt;0,IF(H175&gt;0,"Удержан частично","Удержан"),"Возвращён")))</f>
        <v/>
      </c>
      <c r="M175" s="10" t="n"/>
      <c r="N175" s="19">
        <f>IF(K175="","",IF(K175&gt;0,IFERROR(IF(INDEX(Брони!$F$2:$F$500,MATCH(A175,Брони!$A$2:$A$500,0))="Возвращена",TODAY()-INT(INDEX(Брони!$E$2:$E$500,MATCH(A175,Брони!$A$2:$A$500,0))),""),""),""))</f>
        <v/>
      </c>
      <c r="O175" s="19">
        <f>IF(OR(N175="",Настройки!$B$8=""),"",IF(N175&gt;Настройки!$B$8,1,""))</f>
        <v/>
      </c>
    </row>
    <row r="176">
      <c r="A176" s="9" t="n"/>
      <c r="B176" s="12">
        <f>IF(A176="","",IFERROR(INDEX(Брони!$C$2:$C$500,MATCH(A176,Брони!$A$2:$A$500,0)),""))</f>
        <v/>
      </c>
      <c r="C176" s="12">
        <f>IF(A176="","",IFERROR(INDEX(Брони!$B$2:$B$500,MATCH(A176,Брони!$A$2:$A$500,0)),""))</f>
        <v/>
      </c>
      <c r="D176" s="14" t="n"/>
      <c r="E176" s="10" t="n"/>
      <c r="F176" s="18" t="n"/>
      <c r="G176" s="18" t="n"/>
      <c r="H176" s="14" t="n"/>
      <c r="I176" s="14" t="n"/>
      <c r="J176" s="10" t="n"/>
      <c r="K176" s="15">
        <f>IF(OR(A176="",D176=""),"",D176-H176-I176)</f>
        <v/>
      </c>
      <c r="L176" s="12">
        <f>IF(K176="","",IF(K176&gt;0,"На руках",IF(I176&gt;0,IF(H176&gt;0,"Удержан частично","Удержан"),"Возвращён")))</f>
        <v/>
      </c>
      <c r="M176" s="10" t="n"/>
      <c r="N176" s="19">
        <f>IF(K176="","",IF(K176&gt;0,IFERROR(IF(INDEX(Брони!$F$2:$F$500,MATCH(A176,Брони!$A$2:$A$500,0))="Возвращена",TODAY()-INT(INDEX(Брони!$E$2:$E$500,MATCH(A176,Брони!$A$2:$A$500,0))),""),""),""))</f>
        <v/>
      </c>
      <c r="O176" s="19">
        <f>IF(OR(N176="",Настройки!$B$8=""),"",IF(N176&gt;Настройки!$B$8,1,""))</f>
        <v/>
      </c>
    </row>
    <row r="177">
      <c r="A177" s="9" t="n"/>
      <c r="B177" s="12">
        <f>IF(A177="","",IFERROR(INDEX(Брони!$C$2:$C$500,MATCH(A177,Брони!$A$2:$A$500,0)),""))</f>
        <v/>
      </c>
      <c r="C177" s="12">
        <f>IF(A177="","",IFERROR(INDEX(Брони!$B$2:$B$500,MATCH(A177,Брони!$A$2:$A$500,0)),""))</f>
        <v/>
      </c>
      <c r="D177" s="14" t="n"/>
      <c r="E177" s="10" t="n"/>
      <c r="F177" s="18" t="n"/>
      <c r="G177" s="18" t="n"/>
      <c r="H177" s="14" t="n"/>
      <c r="I177" s="14" t="n"/>
      <c r="J177" s="10" t="n"/>
      <c r="K177" s="15">
        <f>IF(OR(A177="",D177=""),"",D177-H177-I177)</f>
        <v/>
      </c>
      <c r="L177" s="12">
        <f>IF(K177="","",IF(K177&gt;0,"На руках",IF(I177&gt;0,IF(H177&gt;0,"Удержан частично","Удержан"),"Возвращён")))</f>
        <v/>
      </c>
      <c r="M177" s="10" t="n"/>
      <c r="N177" s="19">
        <f>IF(K177="","",IF(K177&gt;0,IFERROR(IF(INDEX(Брони!$F$2:$F$500,MATCH(A177,Брони!$A$2:$A$500,0))="Возвращена",TODAY()-INT(INDEX(Брони!$E$2:$E$500,MATCH(A177,Брони!$A$2:$A$500,0))),""),""),""))</f>
        <v/>
      </c>
      <c r="O177" s="19">
        <f>IF(OR(N177="",Настройки!$B$8=""),"",IF(N177&gt;Настройки!$B$8,1,""))</f>
        <v/>
      </c>
    </row>
    <row r="178">
      <c r="A178" s="9" t="n"/>
      <c r="B178" s="12">
        <f>IF(A178="","",IFERROR(INDEX(Брони!$C$2:$C$500,MATCH(A178,Брони!$A$2:$A$500,0)),""))</f>
        <v/>
      </c>
      <c r="C178" s="12">
        <f>IF(A178="","",IFERROR(INDEX(Брони!$B$2:$B$500,MATCH(A178,Брони!$A$2:$A$500,0)),""))</f>
        <v/>
      </c>
      <c r="D178" s="14" t="n"/>
      <c r="E178" s="10" t="n"/>
      <c r="F178" s="18" t="n"/>
      <c r="G178" s="18" t="n"/>
      <c r="H178" s="14" t="n"/>
      <c r="I178" s="14" t="n"/>
      <c r="J178" s="10" t="n"/>
      <c r="K178" s="15">
        <f>IF(OR(A178="",D178=""),"",D178-H178-I178)</f>
        <v/>
      </c>
      <c r="L178" s="12">
        <f>IF(K178="","",IF(K178&gt;0,"На руках",IF(I178&gt;0,IF(H178&gt;0,"Удержан частично","Удержан"),"Возвращён")))</f>
        <v/>
      </c>
      <c r="M178" s="10" t="n"/>
      <c r="N178" s="19">
        <f>IF(K178="","",IF(K178&gt;0,IFERROR(IF(INDEX(Брони!$F$2:$F$500,MATCH(A178,Брони!$A$2:$A$500,0))="Возвращена",TODAY()-INT(INDEX(Брони!$E$2:$E$500,MATCH(A178,Брони!$A$2:$A$500,0))),""),""),""))</f>
        <v/>
      </c>
      <c r="O178" s="19">
        <f>IF(OR(N178="",Настройки!$B$8=""),"",IF(N178&gt;Настройки!$B$8,1,""))</f>
        <v/>
      </c>
    </row>
    <row r="179">
      <c r="A179" s="9" t="n"/>
      <c r="B179" s="12">
        <f>IF(A179="","",IFERROR(INDEX(Брони!$C$2:$C$500,MATCH(A179,Брони!$A$2:$A$500,0)),""))</f>
        <v/>
      </c>
      <c r="C179" s="12">
        <f>IF(A179="","",IFERROR(INDEX(Брони!$B$2:$B$500,MATCH(A179,Брони!$A$2:$A$500,0)),""))</f>
        <v/>
      </c>
      <c r="D179" s="14" t="n"/>
      <c r="E179" s="10" t="n"/>
      <c r="F179" s="18" t="n"/>
      <c r="G179" s="18" t="n"/>
      <c r="H179" s="14" t="n"/>
      <c r="I179" s="14" t="n"/>
      <c r="J179" s="10" t="n"/>
      <c r="K179" s="15">
        <f>IF(OR(A179="",D179=""),"",D179-H179-I179)</f>
        <v/>
      </c>
      <c r="L179" s="12">
        <f>IF(K179="","",IF(K179&gt;0,"На руках",IF(I179&gt;0,IF(H179&gt;0,"Удержан частично","Удержан"),"Возвращён")))</f>
        <v/>
      </c>
      <c r="M179" s="10" t="n"/>
      <c r="N179" s="19">
        <f>IF(K179="","",IF(K179&gt;0,IFERROR(IF(INDEX(Брони!$F$2:$F$500,MATCH(A179,Брони!$A$2:$A$500,0))="Возвращена",TODAY()-INT(INDEX(Брони!$E$2:$E$500,MATCH(A179,Брони!$A$2:$A$500,0))),""),""),""))</f>
        <v/>
      </c>
      <c r="O179" s="19">
        <f>IF(OR(N179="",Настройки!$B$8=""),"",IF(N179&gt;Настройки!$B$8,1,""))</f>
        <v/>
      </c>
    </row>
    <row r="180">
      <c r="A180" s="9" t="n"/>
      <c r="B180" s="12">
        <f>IF(A180="","",IFERROR(INDEX(Брони!$C$2:$C$500,MATCH(A180,Брони!$A$2:$A$500,0)),""))</f>
        <v/>
      </c>
      <c r="C180" s="12">
        <f>IF(A180="","",IFERROR(INDEX(Брони!$B$2:$B$500,MATCH(A180,Брони!$A$2:$A$500,0)),""))</f>
        <v/>
      </c>
      <c r="D180" s="14" t="n"/>
      <c r="E180" s="10" t="n"/>
      <c r="F180" s="18" t="n"/>
      <c r="G180" s="18" t="n"/>
      <c r="H180" s="14" t="n"/>
      <c r="I180" s="14" t="n"/>
      <c r="J180" s="10" t="n"/>
      <c r="K180" s="15">
        <f>IF(OR(A180="",D180=""),"",D180-H180-I180)</f>
        <v/>
      </c>
      <c r="L180" s="12">
        <f>IF(K180="","",IF(K180&gt;0,"На руках",IF(I180&gt;0,IF(H180&gt;0,"Удержан частично","Удержан"),"Возвращён")))</f>
        <v/>
      </c>
      <c r="M180" s="10" t="n"/>
      <c r="N180" s="19">
        <f>IF(K180="","",IF(K180&gt;0,IFERROR(IF(INDEX(Брони!$F$2:$F$500,MATCH(A180,Брони!$A$2:$A$500,0))="Возвращена",TODAY()-INT(INDEX(Брони!$E$2:$E$500,MATCH(A180,Брони!$A$2:$A$500,0))),""),""),""))</f>
        <v/>
      </c>
      <c r="O180" s="19">
        <f>IF(OR(N180="",Настройки!$B$8=""),"",IF(N180&gt;Настройки!$B$8,1,""))</f>
        <v/>
      </c>
    </row>
    <row r="181">
      <c r="A181" s="9" t="n"/>
      <c r="B181" s="12">
        <f>IF(A181="","",IFERROR(INDEX(Брони!$C$2:$C$500,MATCH(A181,Брони!$A$2:$A$500,0)),""))</f>
        <v/>
      </c>
      <c r="C181" s="12">
        <f>IF(A181="","",IFERROR(INDEX(Брони!$B$2:$B$500,MATCH(A181,Брони!$A$2:$A$500,0)),""))</f>
        <v/>
      </c>
      <c r="D181" s="14" t="n"/>
      <c r="E181" s="10" t="n"/>
      <c r="F181" s="18" t="n"/>
      <c r="G181" s="18" t="n"/>
      <c r="H181" s="14" t="n"/>
      <c r="I181" s="14" t="n"/>
      <c r="J181" s="10" t="n"/>
      <c r="K181" s="15">
        <f>IF(OR(A181="",D181=""),"",D181-H181-I181)</f>
        <v/>
      </c>
      <c r="L181" s="12">
        <f>IF(K181="","",IF(K181&gt;0,"На руках",IF(I181&gt;0,IF(H181&gt;0,"Удержан частично","Удержан"),"Возвращён")))</f>
        <v/>
      </c>
      <c r="M181" s="10" t="n"/>
      <c r="N181" s="19">
        <f>IF(K181="","",IF(K181&gt;0,IFERROR(IF(INDEX(Брони!$F$2:$F$500,MATCH(A181,Брони!$A$2:$A$500,0))="Возвращена",TODAY()-INT(INDEX(Брони!$E$2:$E$500,MATCH(A181,Брони!$A$2:$A$500,0))),""),""),""))</f>
        <v/>
      </c>
      <c r="O181" s="19">
        <f>IF(OR(N181="",Настройки!$B$8=""),"",IF(N181&gt;Настройки!$B$8,1,""))</f>
        <v/>
      </c>
    </row>
    <row r="182">
      <c r="A182" s="9" t="n"/>
      <c r="B182" s="12">
        <f>IF(A182="","",IFERROR(INDEX(Брони!$C$2:$C$500,MATCH(A182,Брони!$A$2:$A$500,0)),""))</f>
        <v/>
      </c>
      <c r="C182" s="12">
        <f>IF(A182="","",IFERROR(INDEX(Брони!$B$2:$B$500,MATCH(A182,Брони!$A$2:$A$500,0)),""))</f>
        <v/>
      </c>
      <c r="D182" s="14" t="n"/>
      <c r="E182" s="10" t="n"/>
      <c r="F182" s="18" t="n"/>
      <c r="G182" s="18" t="n"/>
      <c r="H182" s="14" t="n"/>
      <c r="I182" s="14" t="n"/>
      <c r="J182" s="10" t="n"/>
      <c r="K182" s="15">
        <f>IF(OR(A182="",D182=""),"",D182-H182-I182)</f>
        <v/>
      </c>
      <c r="L182" s="12">
        <f>IF(K182="","",IF(K182&gt;0,"На руках",IF(I182&gt;0,IF(H182&gt;0,"Удержан частично","Удержан"),"Возвращён")))</f>
        <v/>
      </c>
      <c r="M182" s="10" t="n"/>
      <c r="N182" s="19">
        <f>IF(K182="","",IF(K182&gt;0,IFERROR(IF(INDEX(Брони!$F$2:$F$500,MATCH(A182,Брони!$A$2:$A$500,0))="Возвращена",TODAY()-INT(INDEX(Брони!$E$2:$E$500,MATCH(A182,Брони!$A$2:$A$500,0))),""),""),""))</f>
        <v/>
      </c>
      <c r="O182" s="19">
        <f>IF(OR(N182="",Настройки!$B$8=""),"",IF(N182&gt;Настройки!$B$8,1,""))</f>
        <v/>
      </c>
    </row>
    <row r="183">
      <c r="A183" s="9" t="n"/>
      <c r="B183" s="12">
        <f>IF(A183="","",IFERROR(INDEX(Брони!$C$2:$C$500,MATCH(A183,Брони!$A$2:$A$500,0)),""))</f>
        <v/>
      </c>
      <c r="C183" s="12">
        <f>IF(A183="","",IFERROR(INDEX(Брони!$B$2:$B$500,MATCH(A183,Брони!$A$2:$A$500,0)),""))</f>
        <v/>
      </c>
      <c r="D183" s="14" t="n"/>
      <c r="E183" s="10" t="n"/>
      <c r="F183" s="18" t="n"/>
      <c r="G183" s="18" t="n"/>
      <c r="H183" s="14" t="n"/>
      <c r="I183" s="14" t="n"/>
      <c r="J183" s="10" t="n"/>
      <c r="K183" s="15">
        <f>IF(OR(A183="",D183=""),"",D183-H183-I183)</f>
        <v/>
      </c>
      <c r="L183" s="12">
        <f>IF(K183="","",IF(K183&gt;0,"На руках",IF(I183&gt;0,IF(H183&gt;0,"Удержан частично","Удержан"),"Возвращён")))</f>
        <v/>
      </c>
      <c r="M183" s="10" t="n"/>
      <c r="N183" s="19">
        <f>IF(K183="","",IF(K183&gt;0,IFERROR(IF(INDEX(Брони!$F$2:$F$500,MATCH(A183,Брони!$A$2:$A$500,0))="Возвращена",TODAY()-INT(INDEX(Брони!$E$2:$E$500,MATCH(A183,Брони!$A$2:$A$500,0))),""),""),""))</f>
        <v/>
      </c>
      <c r="O183" s="19">
        <f>IF(OR(N183="",Настройки!$B$8=""),"",IF(N183&gt;Настройки!$B$8,1,""))</f>
        <v/>
      </c>
    </row>
    <row r="184">
      <c r="A184" s="9" t="n"/>
      <c r="B184" s="12">
        <f>IF(A184="","",IFERROR(INDEX(Брони!$C$2:$C$500,MATCH(A184,Брони!$A$2:$A$500,0)),""))</f>
        <v/>
      </c>
      <c r="C184" s="12">
        <f>IF(A184="","",IFERROR(INDEX(Брони!$B$2:$B$500,MATCH(A184,Брони!$A$2:$A$500,0)),""))</f>
        <v/>
      </c>
      <c r="D184" s="14" t="n"/>
      <c r="E184" s="10" t="n"/>
      <c r="F184" s="18" t="n"/>
      <c r="G184" s="18" t="n"/>
      <c r="H184" s="14" t="n"/>
      <c r="I184" s="14" t="n"/>
      <c r="J184" s="10" t="n"/>
      <c r="K184" s="15">
        <f>IF(OR(A184="",D184=""),"",D184-H184-I184)</f>
        <v/>
      </c>
      <c r="L184" s="12">
        <f>IF(K184="","",IF(K184&gt;0,"На руках",IF(I184&gt;0,IF(H184&gt;0,"Удержан частично","Удержан"),"Возвращён")))</f>
        <v/>
      </c>
      <c r="M184" s="10" t="n"/>
      <c r="N184" s="19">
        <f>IF(K184="","",IF(K184&gt;0,IFERROR(IF(INDEX(Брони!$F$2:$F$500,MATCH(A184,Брони!$A$2:$A$500,0))="Возвращена",TODAY()-INT(INDEX(Брони!$E$2:$E$500,MATCH(A184,Брони!$A$2:$A$500,0))),""),""),""))</f>
        <v/>
      </c>
      <c r="O184" s="19">
        <f>IF(OR(N184="",Настройки!$B$8=""),"",IF(N184&gt;Настройки!$B$8,1,""))</f>
        <v/>
      </c>
    </row>
    <row r="185">
      <c r="A185" s="9" t="n"/>
      <c r="B185" s="12">
        <f>IF(A185="","",IFERROR(INDEX(Брони!$C$2:$C$500,MATCH(A185,Брони!$A$2:$A$500,0)),""))</f>
        <v/>
      </c>
      <c r="C185" s="12">
        <f>IF(A185="","",IFERROR(INDEX(Брони!$B$2:$B$500,MATCH(A185,Брони!$A$2:$A$500,0)),""))</f>
        <v/>
      </c>
      <c r="D185" s="14" t="n"/>
      <c r="E185" s="10" t="n"/>
      <c r="F185" s="18" t="n"/>
      <c r="G185" s="18" t="n"/>
      <c r="H185" s="14" t="n"/>
      <c r="I185" s="14" t="n"/>
      <c r="J185" s="10" t="n"/>
      <c r="K185" s="15">
        <f>IF(OR(A185="",D185=""),"",D185-H185-I185)</f>
        <v/>
      </c>
      <c r="L185" s="12">
        <f>IF(K185="","",IF(K185&gt;0,"На руках",IF(I185&gt;0,IF(H185&gt;0,"Удержан частично","Удержан"),"Возвращён")))</f>
        <v/>
      </c>
      <c r="M185" s="10" t="n"/>
      <c r="N185" s="19">
        <f>IF(K185="","",IF(K185&gt;0,IFERROR(IF(INDEX(Брони!$F$2:$F$500,MATCH(A185,Брони!$A$2:$A$500,0))="Возвращена",TODAY()-INT(INDEX(Брони!$E$2:$E$500,MATCH(A185,Брони!$A$2:$A$500,0))),""),""),""))</f>
        <v/>
      </c>
      <c r="O185" s="19">
        <f>IF(OR(N185="",Настройки!$B$8=""),"",IF(N185&gt;Настройки!$B$8,1,""))</f>
        <v/>
      </c>
    </row>
    <row r="186">
      <c r="A186" s="9" t="n"/>
      <c r="B186" s="12">
        <f>IF(A186="","",IFERROR(INDEX(Брони!$C$2:$C$500,MATCH(A186,Брони!$A$2:$A$500,0)),""))</f>
        <v/>
      </c>
      <c r="C186" s="12">
        <f>IF(A186="","",IFERROR(INDEX(Брони!$B$2:$B$500,MATCH(A186,Брони!$A$2:$A$500,0)),""))</f>
        <v/>
      </c>
      <c r="D186" s="14" t="n"/>
      <c r="E186" s="10" t="n"/>
      <c r="F186" s="18" t="n"/>
      <c r="G186" s="18" t="n"/>
      <c r="H186" s="14" t="n"/>
      <c r="I186" s="14" t="n"/>
      <c r="J186" s="10" t="n"/>
      <c r="K186" s="15">
        <f>IF(OR(A186="",D186=""),"",D186-H186-I186)</f>
        <v/>
      </c>
      <c r="L186" s="12">
        <f>IF(K186="","",IF(K186&gt;0,"На руках",IF(I186&gt;0,IF(H186&gt;0,"Удержан частично","Удержан"),"Возвращён")))</f>
        <v/>
      </c>
      <c r="M186" s="10" t="n"/>
      <c r="N186" s="19">
        <f>IF(K186="","",IF(K186&gt;0,IFERROR(IF(INDEX(Брони!$F$2:$F$500,MATCH(A186,Брони!$A$2:$A$500,0))="Возвращена",TODAY()-INT(INDEX(Брони!$E$2:$E$500,MATCH(A186,Брони!$A$2:$A$500,0))),""),""),""))</f>
        <v/>
      </c>
      <c r="O186" s="19">
        <f>IF(OR(N186="",Настройки!$B$8=""),"",IF(N186&gt;Настройки!$B$8,1,""))</f>
        <v/>
      </c>
    </row>
    <row r="187">
      <c r="A187" s="9" t="n"/>
      <c r="B187" s="12">
        <f>IF(A187="","",IFERROR(INDEX(Брони!$C$2:$C$500,MATCH(A187,Брони!$A$2:$A$500,0)),""))</f>
        <v/>
      </c>
      <c r="C187" s="12">
        <f>IF(A187="","",IFERROR(INDEX(Брони!$B$2:$B$500,MATCH(A187,Брони!$A$2:$A$500,0)),""))</f>
        <v/>
      </c>
      <c r="D187" s="14" t="n"/>
      <c r="E187" s="10" t="n"/>
      <c r="F187" s="18" t="n"/>
      <c r="G187" s="18" t="n"/>
      <c r="H187" s="14" t="n"/>
      <c r="I187" s="14" t="n"/>
      <c r="J187" s="10" t="n"/>
      <c r="K187" s="15">
        <f>IF(OR(A187="",D187=""),"",D187-H187-I187)</f>
        <v/>
      </c>
      <c r="L187" s="12">
        <f>IF(K187="","",IF(K187&gt;0,"На руках",IF(I187&gt;0,IF(H187&gt;0,"Удержан частично","Удержан"),"Возвращён")))</f>
        <v/>
      </c>
      <c r="M187" s="10" t="n"/>
      <c r="N187" s="19">
        <f>IF(K187="","",IF(K187&gt;0,IFERROR(IF(INDEX(Брони!$F$2:$F$500,MATCH(A187,Брони!$A$2:$A$500,0))="Возвращена",TODAY()-INT(INDEX(Брони!$E$2:$E$500,MATCH(A187,Брони!$A$2:$A$500,0))),""),""),""))</f>
        <v/>
      </c>
      <c r="O187" s="19">
        <f>IF(OR(N187="",Настройки!$B$8=""),"",IF(N187&gt;Настройки!$B$8,1,""))</f>
        <v/>
      </c>
    </row>
    <row r="188">
      <c r="A188" s="9" t="n"/>
      <c r="B188" s="12">
        <f>IF(A188="","",IFERROR(INDEX(Брони!$C$2:$C$500,MATCH(A188,Брони!$A$2:$A$500,0)),""))</f>
        <v/>
      </c>
      <c r="C188" s="12">
        <f>IF(A188="","",IFERROR(INDEX(Брони!$B$2:$B$500,MATCH(A188,Брони!$A$2:$A$500,0)),""))</f>
        <v/>
      </c>
      <c r="D188" s="14" t="n"/>
      <c r="E188" s="10" t="n"/>
      <c r="F188" s="18" t="n"/>
      <c r="G188" s="18" t="n"/>
      <c r="H188" s="14" t="n"/>
      <c r="I188" s="14" t="n"/>
      <c r="J188" s="10" t="n"/>
      <c r="K188" s="15">
        <f>IF(OR(A188="",D188=""),"",D188-H188-I188)</f>
        <v/>
      </c>
      <c r="L188" s="12">
        <f>IF(K188="","",IF(K188&gt;0,"На руках",IF(I188&gt;0,IF(H188&gt;0,"Удержан частично","Удержан"),"Возвращён")))</f>
        <v/>
      </c>
      <c r="M188" s="10" t="n"/>
      <c r="N188" s="19">
        <f>IF(K188="","",IF(K188&gt;0,IFERROR(IF(INDEX(Брони!$F$2:$F$500,MATCH(A188,Брони!$A$2:$A$500,0))="Возвращена",TODAY()-INT(INDEX(Брони!$E$2:$E$500,MATCH(A188,Брони!$A$2:$A$500,0))),""),""),""))</f>
        <v/>
      </c>
      <c r="O188" s="19">
        <f>IF(OR(N188="",Настройки!$B$8=""),"",IF(N188&gt;Настройки!$B$8,1,""))</f>
        <v/>
      </c>
    </row>
    <row r="189">
      <c r="A189" s="9" t="n"/>
      <c r="B189" s="12">
        <f>IF(A189="","",IFERROR(INDEX(Брони!$C$2:$C$500,MATCH(A189,Брони!$A$2:$A$500,0)),""))</f>
        <v/>
      </c>
      <c r="C189" s="12">
        <f>IF(A189="","",IFERROR(INDEX(Брони!$B$2:$B$500,MATCH(A189,Брони!$A$2:$A$500,0)),""))</f>
        <v/>
      </c>
      <c r="D189" s="14" t="n"/>
      <c r="E189" s="10" t="n"/>
      <c r="F189" s="18" t="n"/>
      <c r="G189" s="18" t="n"/>
      <c r="H189" s="14" t="n"/>
      <c r="I189" s="14" t="n"/>
      <c r="J189" s="10" t="n"/>
      <c r="K189" s="15">
        <f>IF(OR(A189="",D189=""),"",D189-H189-I189)</f>
        <v/>
      </c>
      <c r="L189" s="12">
        <f>IF(K189="","",IF(K189&gt;0,"На руках",IF(I189&gt;0,IF(H189&gt;0,"Удержан частично","Удержан"),"Возвращён")))</f>
        <v/>
      </c>
      <c r="M189" s="10" t="n"/>
      <c r="N189" s="19">
        <f>IF(K189="","",IF(K189&gt;0,IFERROR(IF(INDEX(Брони!$F$2:$F$500,MATCH(A189,Брони!$A$2:$A$500,0))="Возвращена",TODAY()-INT(INDEX(Брони!$E$2:$E$500,MATCH(A189,Брони!$A$2:$A$500,0))),""),""),""))</f>
        <v/>
      </c>
      <c r="O189" s="19">
        <f>IF(OR(N189="",Настройки!$B$8=""),"",IF(N189&gt;Настройки!$B$8,1,""))</f>
        <v/>
      </c>
    </row>
    <row r="190">
      <c r="A190" s="9" t="n"/>
      <c r="B190" s="12">
        <f>IF(A190="","",IFERROR(INDEX(Брони!$C$2:$C$500,MATCH(A190,Брони!$A$2:$A$500,0)),""))</f>
        <v/>
      </c>
      <c r="C190" s="12">
        <f>IF(A190="","",IFERROR(INDEX(Брони!$B$2:$B$500,MATCH(A190,Брони!$A$2:$A$500,0)),""))</f>
        <v/>
      </c>
      <c r="D190" s="14" t="n"/>
      <c r="E190" s="10" t="n"/>
      <c r="F190" s="18" t="n"/>
      <c r="G190" s="18" t="n"/>
      <c r="H190" s="14" t="n"/>
      <c r="I190" s="14" t="n"/>
      <c r="J190" s="10" t="n"/>
      <c r="K190" s="15">
        <f>IF(OR(A190="",D190=""),"",D190-H190-I190)</f>
        <v/>
      </c>
      <c r="L190" s="12">
        <f>IF(K190="","",IF(K190&gt;0,"На руках",IF(I190&gt;0,IF(H190&gt;0,"Удержан частично","Удержан"),"Возвращён")))</f>
        <v/>
      </c>
      <c r="M190" s="10" t="n"/>
      <c r="N190" s="19">
        <f>IF(K190="","",IF(K190&gt;0,IFERROR(IF(INDEX(Брони!$F$2:$F$500,MATCH(A190,Брони!$A$2:$A$500,0))="Возвращена",TODAY()-INT(INDEX(Брони!$E$2:$E$500,MATCH(A190,Брони!$A$2:$A$500,0))),""),""),""))</f>
        <v/>
      </c>
      <c r="O190" s="19">
        <f>IF(OR(N190="",Настройки!$B$8=""),"",IF(N190&gt;Настройки!$B$8,1,""))</f>
        <v/>
      </c>
    </row>
    <row r="191">
      <c r="A191" s="9" t="n"/>
      <c r="B191" s="12">
        <f>IF(A191="","",IFERROR(INDEX(Брони!$C$2:$C$500,MATCH(A191,Брони!$A$2:$A$500,0)),""))</f>
        <v/>
      </c>
      <c r="C191" s="12">
        <f>IF(A191="","",IFERROR(INDEX(Брони!$B$2:$B$500,MATCH(A191,Брони!$A$2:$A$500,0)),""))</f>
        <v/>
      </c>
      <c r="D191" s="14" t="n"/>
      <c r="E191" s="10" t="n"/>
      <c r="F191" s="18" t="n"/>
      <c r="G191" s="18" t="n"/>
      <c r="H191" s="14" t="n"/>
      <c r="I191" s="14" t="n"/>
      <c r="J191" s="10" t="n"/>
      <c r="K191" s="15">
        <f>IF(OR(A191="",D191=""),"",D191-H191-I191)</f>
        <v/>
      </c>
      <c r="L191" s="12">
        <f>IF(K191="","",IF(K191&gt;0,"На руках",IF(I191&gt;0,IF(H191&gt;0,"Удержан частично","Удержан"),"Возвращён")))</f>
        <v/>
      </c>
      <c r="M191" s="10" t="n"/>
      <c r="N191" s="19">
        <f>IF(K191="","",IF(K191&gt;0,IFERROR(IF(INDEX(Брони!$F$2:$F$500,MATCH(A191,Брони!$A$2:$A$500,0))="Возвращена",TODAY()-INT(INDEX(Брони!$E$2:$E$500,MATCH(A191,Брони!$A$2:$A$500,0))),""),""),""))</f>
        <v/>
      </c>
      <c r="O191" s="19">
        <f>IF(OR(N191="",Настройки!$B$8=""),"",IF(N191&gt;Настройки!$B$8,1,""))</f>
        <v/>
      </c>
    </row>
    <row r="192">
      <c r="A192" s="9" t="n"/>
      <c r="B192" s="12">
        <f>IF(A192="","",IFERROR(INDEX(Брони!$C$2:$C$500,MATCH(A192,Брони!$A$2:$A$500,0)),""))</f>
        <v/>
      </c>
      <c r="C192" s="12">
        <f>IF(A192="","",IFERROR(INDEX(Брони!$B$2:$B$500,MATCH(A192,Брони!$A$2:$A$500,0)),""))</f>
        <v/>
      </c>
      <c r="D192" s="14" t="n"/>
      <c r="E192" s="10" t="n"/>
      <c r="F192" s="18" t="n"/>
      <c r="G192" s="18" t="n"/>
      <c r="H192" s="14" t="n"/>
      <c r="I192" s="14" t="n"/>
      <c r="J192" s="10" t="n"/>
      <c r="K192" s="15">
        <f>IF(OR(A192="",D192=""),"",D192-H192-I192)</f>
        <v/>
      </c>
      <c r="L192" s="12">
        <f>IF(K192="","",IF(K192&gt;0,"На руках",IF(I192&gt;0,IF(H192&gt;0,"Удержан частично","Удержан"),"Возвращён")))</f>
        <v/>
      </c>
      <c r="M192" s="10" t="n"/>
      <c r="N192" s="19">
        <f>IF(K192="","",IF(K192&gt;0,IFERROR(IF(INDEX(Брони!$F$2:$F$500,MATCH(A192,Брони!$A$2:$A$500,0))="Возвращена",TODAY()-INT(INDEX(Брони!$E$2:$E$500,MATCH(A192,Брони!$A$2:$A$500,0))),""),""),""))</f>
        <v/>
      </c>
      <c r="O192" s="19">
        <f>IF(OR(N192="",Настройки!$B$8=""),"",IF(N192&gt;Настройки!$B$8,1,""))</f>
        <v/>
      </c>
    </row>
    <row r="193">
      <c r="A193" s="9" t="n"/>
      <c r="B193" s="12">
        <f>IF(A193="","",IFERROR(INDEX(Брони!$C$2:$C$500,MATCH(A193,Брони!$A$2:$A$500,0)),""))</f>
        <v/>
      </c>
      <c r="C193" s="12">
        <f>IF(A193="","",IFERROR(INDEX(Брони!$B$2:$B$500,MATCH(A193,Брони!$A$2:$A$500,0)),""))</f>
        <v/>
      </c>
      <c r="D193" s="14" t="n"/>
      <c r="E193" s="10" t="n"/>
      <c r="F193" s="18" t="n"/>
      <c r="G193" s="18" t="n"/>
      <c r="H193" s="14" t="n"/>
      <c r="I193" s="14" t="n"/>
      <c r="J193" s="10" t="n"/>
      <c r="K193" s="15">
        <f>IF(OR(A193="",D193=""),"",D193-H193-I193)</f>
        <v/>
      </c>
      <c r="L193" s="12">
        <f>IF(K193="","",IF(K193&gt;0,"На руках",IF(I193&gt;0,IF(H193&gt;0,"Удержан частично","Удержан"),"Возвращён")))</f>
        <v/>
      </c>
      <c r="M193" s="10" t="n"/>
      <c r="N193" s="19">
        <f>IF(K193="","",IF(K193&gt;0,IFERROR(IF(INDEX(Брони!$F$2:$F$500,MATCH(A193,Брони!$A$2:$A$500,0))="Возвращена",TODAY()-INT(INDEX(Брони!$E$2:$E$500,MATCH(A193,Брони!$A$2:$A$500,0))),""),""),""))</f>
        <v/>
      </c>
      <c r="O193" s="19">
        <f>IF(OR(N193="",Настройки!$B$8=""),"",IF(N193&gt;Настройки!$B$8,1,""))</f>
        <v/>
      </c>
    </row>
    <row r="194">
      <c r="A194" s="9" t="n"/>
      <c r="B194" s="12">
        <f>IF(A194="","",IFERROR(INDEX(Брони!$C$2:$C$500,MATCH(A194,Брони!$A$2:$A$500,0)),""))</f>
        <v/>
      </c>
      <c r="C194" s="12">
        <f>IF(A194="","",IFERROR(INDEX(Брони!$B$2:$B$500,MATCH(A194,Брони!$A$2:$A$500,0)),""))</f>
        <v/>
      </c>
      <c r="D194" s="14" t="n"/>
      <c r="E194" s="10" t="n"/>
      <c r="F194" s="18" t="n"/>
      <c r="G194" s="18" t="n"/>
      <c r="H194" s="14" t="n"/>
      <c r="I194" s="14" t="n"/>
      <c r="J194" s="10" t="n"/>
      <c r="K194" s="15">
        <f>IF(OR(A194="",D194=""),"",D194-H194-I194)</f>
        <v/>
      </c>
      <c r="L194" s="12">
        <f>IF(K194="","",IF(K194&gt;0,"На руках",IF(I194&gt;0,IF(H194&gt;0,"Удержан частично","Удержан"),"Возвращён")))</f>
        <v/>
      </c>
      <c r="M194" s="10" t="n"/>
      <c r="N194" s="19">
        <f>IF(K194="","",IF(K194&gt;0,IFERROR(IF(INDEX(Брони!$F$2:$F$500,MATCH(A194,Брони!$A$2:$A$500,0))="Возвращена",TODAY()-INT(INDEX(Брони!$E$2:$E$500,MATCH(A194,Брони!$A$2:$A$500,0))),""),""),""))</f>
        <v/>
      </c>
      <c r="O194" s="19">
        <f>IF(OR(N194="",Настройки!$B$8=""),"",IF(N194&gt;Настройки!$B$8,1,""))</f>
        <v/>
      </c>
    </row>
    <row r="195">
      <c r="A195" s="9" t="n"/>
      <c r="B195" s="12">
        <f>IF(A195="","",IFERROR(INDEX(Брони!$C$2:$C$500,MATCH(A195,Брони!$A$2:$A$500,0)),""))</f>
        <v/>
      </c>
      <c r="C195" s="12">
        <f>IF(A195="","",IFERROR(INDEX(Брони!$B$2:$B$500,MATCH(A195,Брони!$A$2:$A$500,0)),""))</f>
        <v/>
      </c>
      <c r="D195" s="14" t="n"/>
      <c r="E195" s="10" t="n"/>
      <c r="F195" s="18" t="n"/>
      <c r="G195" s="18" t="n"/>
      <c r="H195" s="14" t="n"/>
      <c r="I195" s="14" t="n"/>
      <c r="J195" s="10" t="n"/>
      <c r="K195" s="15">
        <f>IF(OR(A195="",D195=""),"",D195-H195-I195)</f>
        <v/>
      </c>
      <c r="L195" s="12">
        <f>IF(K195="","",IF(K195&gt;0,"На руках",IF(I195&gt;0,IF(H195&gt;0,"Удержан частично","Удержан"),"Возвращён")))</f>
        <v/>
      </c>
      <c r="M195" s="10" t="n"/>
      <c r="N195" s="19">
        <f>IF(K195="","",IF(K195&gt;0,IFERROR(IF(INDEX(Брони!$F$2:$F$500,MATCH(A195,Брони!$A$2:$A$500,0))="Возвращена",TODAY()-INT(INDEX(Брони!$E$2:$E$500,MATCH(A195,Брони!$A$2:$A$500,0))),""),""),""))</f>
        <v/>
      </c>
      <c r="O195" s="19">
        <f>IF(OR(N195="",Настройки!$B$8=""),"",IF(N195&gt;Настройки!$B$8,1,""))</f>
        <v/>
      </c>
    </row>
    <row r="196">
      <c r="A196" s="9" t="n"/>
      <c r="B196" s="12">
        <f>IF(A196="","",IFERROR(INDEX(Брони!$C$2:$C$500,MATCH(A196,Брони!$A$2:$A$500,0)),""))</f>
        <v/>
      </c>
      <c r="C196" s="12">
        <f>IF(A196="","",IFERROR(INDEX(Брони!$B$2:$B$500,MATCH(A196,Брони!$A$2:$A$500,0)),""))</f>
        <v/>
      </c>
      <c r="D196" s="14" t="n"/>
      <c r="E196" s="10" t="n"/>
      <c r="F196" s="18" t="n"/>
      <c r="G196" s="18" t="n"/>
      <c r="H196" s="14" t="n"/>
      <c r="I196" s="14" t="n"/>
      <c r="J196" s="10" t="n"/>
      <c r="K196" s="15">
        <f>IF(OR(A196="",D196=""),"",D196-H196-I196)</f>
        <v/>
      </c>
      <c r="L196" s="12">
        <f>IF(K196="","",IF(K196&gt;0,"На руках",IF(I196&gt;0,IF(H196&gt;0,"Удержан частично","Удержан"),"Возвращён")))</f>
        <v/>
      </c>
      <c r="M196" s="10" t="n"/>
      <c r="N196" s="19">
        <f>IF(K196="","",IF(K196&gt;0,IFERROR(IF(INDEX(Брони!$F$2:$F$500,MATCH(A196,Брони!$A$2:$A$500,0))="Возвращена",TODAY()-INT(INDEX(Брони!$E$2:$E$500,MATCH(A196,Брони!$A$2:$A$500,0))),""),""),""))</f>
        <v/>
      </c>
      <c r="O196" s="19">
        <f>IF(OR(N196="",Настройки!$B$8=""),"",IF(N196&gt;Настройки!$B$8,1,""))</f>
        <v/>
      </c>
    </row>
    <row r="197">
      <c r="A197" s="9" t="n"/>
      <c r="B197" s="12">
        <f>IF(A197="","",IFERROR(INDEX(Брони!$C$2:$C$500,MATCH(A197,Брони!$A$2:$A$500,0)),""))</f>
        <v/>
      </c>
      <c r="C197" s="12">
        <f>IF(A197="","",IFERROR(INDEX(Брони!$B$2:$B$500,MATCH(A197,Брони!$A$2:$A$500,0)),""))</f>
        <v/>
      </c>
      <c r="D197" s="14" t="n"/>
      <c r="E197" s="10" t="n"/>
      <c r="F197" s="18" t="n"/>
      <c r="G197" s="18" t="n"/>
      <c r="H197" s="14" t="n"/>
      <c r="I197" s="14" t="n"/>
      <c r="J197" s="10" t="n"/>
      <c r="K197" s="15">
        <f>IF(OR(A197="",D197=""),"",D197-H197-I197)</f>
        <v/>
      </c>
      <c r="L197" s="12">
        <f>IF(K197="","",IF(K197&gt;0,"На руках",IF(I197&gt;0,IF(H197&gt;0,"Удержан частично","Удержан"),"Возвращён")))</f>
        <v/>
      </c>
      <c r="M197" s="10" t="n"/>
      <c r="N197" s="19">
        <f>IF(K197="","",IF(K197&gt;0,IFERROR(IF(INDEX(Брони!$F$2:$F$500,MATCH(A197,Брони!$A$2:$A$500,0))="Возвращена",TODAY()-INT(INDEX(Брони!$E$2:$E$500,MATCH(A197,Брони!$A$2:$A$500,0))),""),""),""))</f>
        <v/>
      </c>
      <c r="O197" s="19">
        <f>IF(OR(N197="",Настройки!$B$8=""),"",IF(N197&gt;Настройки!$B$8,1,""))</f>
        <v/>
      </c>
    </row>
    <row r="198">
      <c r="A198" s="9" t="n"/>
      <c r="B198" s="12">
        <f>IF(A198="","",IFERROR(INDEX(Брони!$C$2:$C$500,MATCH(A198,Брони!$A$2:$A$500,0)),""))</f>
        <v/>
      </c>
      <c r="C198" s="12">
        <f>IF(A198="","",IFERROR(INDEX(Брони!$B$2:$B$500,MATCH(A198,Брони!$A$2:$A$500,0)),""))</f>
        <v/>
      </c>
      <c r="D198" s="14" t="n"/>
      <c r="E198" s="10" t="n"/>
      <c r="F198" s="18" t="n"/>
      <c r="G198" s="18" t="n"/>
      <c r="H198" s="14" t="n"/>
      <c r="I198" s="14" t="n"/>
      <c r="J198" s="10" t="n"/>
      <c r="K198" s="15">
        <f>IF(OR(A198="",D198=""),"",D198-H198-I198)</f>
        <v/>
      </c>
      <c r="L198" s="12">
        <f>IF(K198="","",IF(K198&gt;0,"На руках",IF(I198&gt;0,IF(H198&gt;0,"Удержан частично","Удержан"),"Возвращён")))</f>
        <v/>
      </c>
      <c r="M198" s="10" t="n"/>
      <c r="N198" s="19">
        <f>IF(K198="","",IF(K198&gt;0,IFERROR(IF(INDEX(Брони!$F$2:$F$500,MATCH(A198,Брони!$A$2:$A$500,0))="Возвращена",TODAY()-INT(INDEX(Брони!$E$2:$E$500,MATCH(A198,Брони!$A$2:$A$500,0))),""),""),""))</f>
        <v/>
      </c>
      <c r="O198" s="19">
        <f>IF(OR(N198="",Настройки!$B$8=""),"",IF(N198&gt;Настройки!$B$8,1,""))</f>
        <v/>
      </c>
    </row>
    <row r="199">
      <c r="A199" s="9" t="n"/>
      <c r="B199" s="12">
        <f>IF(A199="","",IFERROR(INDEX(Брони!$C$2:$C$500,MATCH(A199,Брони!$A$2:$A$500,0)),""))</f>
        <v/>
      </c>
      <c r="C199" s="12">
        <f>IF(A199="","",IFERROR(INDEX(Брони!$B$2:$B$500,MATCH(A199,Брони!$A$2:$A$500,0)),""))</f>
        <v/>
      </c>
      <c r="D199" s="14" t="n"/>
      <c r="E199" s="10" t="n"/>
      <c r="F199" s="18" t="n"/>
      <c r="G199" s="18" t="n"/>
      <c r="H199" s="14" t="n"/>
      <c r="I199" s="14" t="n"/>
      <c r="J199" s="10" t="n"/>
      <c r="K199" s="15">
        <f>IF(OR(A199="",D199=""),"",D199-H199-I199)</f>
        <v/>
      </c>
      <c r="L199" s="12">
        <f>IF(K199="","",IF(K199&gt;0,"На руках",IF(I199&gt;0,IF(H199&gt;0,"Удержан частично","Удержан"),"Возвращён")))</f>
        <v/>
      </c>
      <c r="M199" s="10" t="n"/>
      <c r="N199" s="19">
        <f>IF(K199="","",IF(K199&gt;0,IFERROR(IF(INDEX(Брони!$F$2:$F$500,MATCH(A199,Брони!$A$2:$A$500,0))="Возвращена",TODAY()-INT(INDEX(Брони!$E$2:$E$500,MATCH(A199,Брони!$A$2:$A$500,0))),""),""),""))</f>
        <v/>
      </c>
      <c r="O199" s="19">
        <f>IF(OR(N199="",Настройки!$B$8=""),"",IF(N199&gt;Настройки!$B$8,1,""))</f>
        <v/>
      </c>
    </row>
    <row r="200">
      <c r="A200" s="9" t="n"/>
      <c r="B200" s="12">
        <f>IF(A200="","",IFERROR(INDEX(Брони!$C$2:$C$500,MATCH(A200,Брони!$A$2:$A$500,0)),""))</f>
        <v/>
      </c>
      <c r="C200" s="12">
        <f>IF(A200="","",IFERROR(INDEX(Брони!$B$2:$B$500,MATCH(A200,Брони!$A$2:$A$500,0)),""))</f>
        <v/>
      </c>
      <c r="D200" s="14" t="n"/>
      <c r="E200" s="10" t="n"/>
      <c r="F200" s="18" t="n"/>
      <c r="G200" s="18" t="n"/>
      <c r="H200" s="14" t="n"/>
      <c r="I200" s="14" t="n"/>
      <c r="J200" s="10" t="n"/>
      <c r="K200" s="15">
        <f>IF(OR(A200="",D200=""),"",D200-H200-I200)</f>
        <v/>
      </c>
      <c r="L200" s="12">
        <f>IF(K200="","",IF(K200&gt;0,"На руках",IF(I200&gt;0,IF(H200&gt;0,"Удержан частично","Удержан"),"Возвращён")))</f>
        <v/>
      </c>
      <c r="M200" s="10" t="n"/>
      <c r="N200" s="19">
        <f>IF(K200="","",IF(K200&gt;0,IFERROR(IF(INDEX(Брони!$F$2:$F$500,MATCH(A200,Брони!$A$2:$A$500,0))="Возвращена",TODAY()-INT(INDEX(Брони!$E$2:$E$500,MATCH(A200,Брони!$A$2:$A$500,0))),""),""),""))</f>
        <v/>
      </c>
      <c r="O200" s="19">
        <f>IF(OR(N200="",Настройки!$B$8=""),"",IF(N200&gt;Настройки!$B$8,1,""))</f>
        <v/>
      </c>
    </row>
    <row r="201">
      <c r="A201" s="9" t="n"/>
      <c r="B201" s="12">
        <f>IF(A201="","",IFERROR(INDEX(Брони!$C$2:$C$500,MATCH(A201,Брони!$A$2:$A$500,0)),""))</f>
        <v/>
      </c>
      <c r="C201" s="12">
        <f>IF(A201="","",IFERROR(INDEX(Брони!$B$2:$B$500,MATCH(A201,Брони!$A$2:$A$500,0)),""))</f>
        <v/>
      </c>
      <c r="D201" s="14" t="n"/>
      <c r="E201" s="10" t="n"/>
      <c r="F201" s="18" t="n"/>
      <c r="G201" s="18" t="n"/>
      <c r="H201" s="14" t="n"/>
      <c r="I201" s="14" t="n"/>
      <c r="J201" s="10" t="n"/>
      <c r="K201" s="15">
        <f>IF(OR(A201="",D201=""),"",D201-H201-I201)</f>
        <v/>
      </c>
      <c r="L201" s="12">
        <f>IF(K201="","",IF(K201&gt;0,"На руках",IF(I201&gt;0,IF(H201&gt;0,"Удержан частично","Удержан"),"Возвращён")))</f>
        <v/>
      </c>
      <c r="M201" s="10" t="n"/>
      <c r="N201" s="19">
        <f>IF(K201="","",IF(K201&gt;0,IFERROR(IF(INDEX(Брони!$F$2:$F$500,MATCH(A201,Брони!$A$2:$A$500,0))="Возвращена",TODAY()-INT(INDEX(Брони!$E$2:$E$500,MATCH(A201,Брони!$A$2:$A$500,0))),""),""),""))</f>
        <v/>
      </c>
      <c r="O201" s="19">
        <f>IF(OR(N201="",Настройки!$B$8=""),"",IF(N201&gt;Настройки!$B$8,1,""))</f>
        <v/>
      </c>
    </row>
    <row r="202">
      <c r="A202" s="9" t="n"/>
      <c r="B202" s="12">
        <f>IF(A202="","",IFERROR(INDEX(Брони!$C$2:$C$500,MATCH(A202,Брони!$A$2:$A$500,0)),""))</f>
        <v/>
      </c>
      <c r="C202" s="12">
        <f>IF(A202="","",IFERROR(INDEX(Брони!$B$2:$B$500,MATCH(A202,Брони!$A$2:$A$500,0)),""))</f>
        <v/>
      </c>
      <c r="D202" s="14" t="n"/>
      <c r="E202" s="10" t="n"/>
      <c r="F202" s="18" t="n"/>
      <c r="G202" s="18" t="n"/>
      <c r="H202" s="14" t="n"/>
      <c r="I202" s="14" t="n"/>
      <c r="J202" s="10" t="n"/>
      <c r="K202" s="15">
        <f>IF(OR(A202="",D202=""),"",D202-H202-I202)</f>
        <v/>
      </c>
      <c r="L202" s="12">
        <f>IF(K202="","",IF(K202&gt;0,"На руках",IF(I202&gt;0,IF(H202&gt;0,"Удержан частично","Удержан"),"Возвращён")))</f>
        <v/>
      </c>
      <c r="M202" s="10" t="n"/>
      <c r="N202" s="19">
        <f>IF(K202="","",IF(K202&gt;0,IFERROR(IF(INDEX(Брони!$F$2:$F$500,MATCH(A202,Брони!$A$2:$A$500,0))="Возвращена",TODAY()-INT(INDEX(Брони!$E$2:$E$500,MATCH(A202,Брони!$A$2:$A$500,0))),""),""),""))</f>
        <v/>
      </c>
      <c r="O202" s="19">
        <f>IF(OR(N202="",Настройки!$B$8=""),"",IF(N202&gt;Настройки!$B$8,1,""))</f>
        <v/>
      </c>
    </row>
    <row r="203">
      <c r="A203" s="9" t="n"/>
      <c r="B203" s="12">
        <f>IF(A203="","",IFERROR(INDEX(Брони!$C$2:$C$500,MATCH(A203,Брони!$A$2:$A$500,0)),""))</f>
        <v/>
      </c>
      <c r="C203" s="12">
        <f>IF(A203="","",IFERROR(INDEX(Брони!$B$2:$B$500,MATCH(A203,Брони!$A$2:$A$500,0)),""))</f>
        <v/>
      </c>
      <c r="D203" s="14" t="n"/>
      <c r="E203" s="10" t="n"/>
      <c r="F203" s="18" t="n"/>
      <c r="G203" s="18" t="n"/>
      <c r="H203" s="14" t="n"/>
      <c r="I203" s="14" t="n"/>
      <c r="J203" s="10" t="n"/>
      <c r="K203" s="15">
        <f>IF(OR(A203="",D203=""),"",D203-H203-I203)</f>
        <v/>
      </c>
      <c r="L203" s="12">
        <f>IF(K203="","",IF(K203&gt;0,"На руках",IF(I203&gt;0,IF(H203&gt;0,"Удержан частично","Удержан"),"Возвращён")))</f>
        <v/>
      </c>
      <c r="M203" s="10" t="n"/>
      <c r="N203" s="19">
        <f>IF(K203="","",IF(K203&gt;0,IFERROR(IF(INDEX(Брони!$F$2:$F$500,MATCH(A203,Брони!$A$2:$A$500,0))="Возвращена",TODAY()-INT(INDEX(Брони!$E$2:$E$500,MATCH(A203,Брони!$A$2:$A$500,0))),""),""),""))</f>
        <v/>
      </c>
      <c r="O203" s="19">
        <f>IF(OR(N203="",Настройки!$B$8=""),"",IF(N203&gt;Настройки!$B$8,1,""))</f>
        <v/>
      </c>
    </row>
    <row r="204">
      <c r="A204" s="9" t="n"/>
      <c r="B204" s="12">
        <f>IF(A204="","",IFERROR(INDEX(Брони!$C$2:$C$500,MATCH(A204,Брони!$A$2:$A$500,0)),""))</f>
        <v/>
      </c>
      <c r="C204" s="12">
        <f>IF(A204="","",IFERROR(INDEX(Брони!$B$2:$B$500,MATCH(A204,Брони!$A$2:$A$500,0)),""))</f>
        <v/>
      </c>
      <c r="D204" s="14" t="n"/>
      <c r="E204" s="10" t="n"/>
      <c r="F204" s="18" t="n"/>
      <c r="G204" s="18" t="n"/>
      <c r="H204" s="14" t="n"/>
      <c r="I204" s="14" t="n"/>
      <c r="J204" s="10" t="n"/>
      <c r="K204" s="15">
        <f>IF(OR(A204="",D204=""),"",D204-H204-I204)</f>
        <v/>
      </c>
      <c r="L204" s="12">
        <f>IF(K204="","",IF(K204&gt;0,"На руках",IF(I204&gt;0,IF(H204&gt;0,"Удержан частично","Удержан"),"Возвращён")))</f>
        <v/>
      </c>
      <c r="M204" s="10" t="n"/>
      <c r="N204" s="19">
        <f>IF(K204="","",IF(K204&gt;0,IFERROR(IF(INDEX(Брони!$F$2:$F$500,MATCH(A204,Брони!$A$2:$A$500,0))="Возвращена",TODAY()-INT(INDEX(Брони!$E$2:$E$500,MATCH(A204,Брони!$A$2:$A$500,0))),""),""),""))</f>
        <v/>
      </c>
      <c r="O204" s="19">
        <f>IF(OR(N204="",Настройки!$B$8=""),"",IF(N204&gt;Настройки!$B$8,1,""))</f>
        <v/>
      </c>
    </row>
    <row r="205">
      <c r="A205" s="9" t="n"/>
      <c r="B205" s="12">
        <f>IF(A205="","",IFERROR(INDEX(Брони!$C$2:$C$500,MATCH(A205,Брони!$A$2:$A$500,0)),""))</f>
        <v/>
      </c>
      <c r="C205" s="12">
        <f>IF(A205="","",IFERROR(INDEX(Брони!$B$2:$B$500,MATCH(A205,Брони!$A$2:$A$500,0)),""))</f>
        <v/>
      </c>
      <c r="D205" s="14" t="n"/>
      <c r="E205" s="10" t="n"/>
      <c r="F205" s="18" t="n"/>
      <c r="G205" s="18" t="n"/>
      <c r="H205" s="14" t="n"/>
      <c r="I205" s="14" t="n"/>
      <c r="J205" s="10" t="n"/>
      <c r="K205" s="15">
        <f>IF(OR(A205="",D205=""),"",D205-H205-I205)</f>
        <v/>
      </c>
      <c r="L205" s="12">
        <f>IF(K205="","",IF(K205&gt;0,"На руках",IF(I205&gt;0,IF(H205&gt;0,"Удержан частично","Удержан"),"Возвращён")))</f>
        <v/>
      </c>
      <c r="M205" s="10" t="n"/>
      <c r="N205" s="19">
        <f>IF(K205="","",IF(K205&gt;0,IFERROR(IF(INDEX(Брони!$F$2:$F$500,MATCH(A205,Брони!$A$2:$A$500,0))="Возвращена",TODAY()-INT(INDEX(Брони!$E$2:$E$500,MATCH(A205,Брони!$A$2:$A$500,0))),""),""),""))</f>
        <v/>
      </c>
      <c r="O205" s="19">
        <f>IF(OR(N205="",Настройки!$B$8=""),"",IF(N205&gt;Настройки!$B$8,1,""))</f>
        <v/>
      </c>
    </row>
    <row r="206">
      <c r="A206" s="9" t="n"/>
      <c r="B206" s="12">
        <f>IF(A206="","",IFERROR(INDEX(Брони!$C$2:$C$500,MATCH(A206,Брони!$A$2:$A$500,0)),""))</f>
        <v/>
      </c>
      <c r="C206" s="12">
        <f>IF(A206="","",IFERROR(INDEX(Брони!$B$2:$B$500,MATCH(A206,Брони!$A$2:$A$500,0)),""))</f>
        <v/>
      </c>
      <c r="D206" s="14" t="n"/>
      <c r="E206" s="10" t="n"/>
      <c r="F206" s="18" t="n"/>
      <c r="G206" s="18" t="n"/>
      <c r="H206" s="14" t="n"/>
      <c r="I206" s="14" t="n"/>
      <c r="J206" s="10" t="n"/>
      <c r="K206" s="15">
        <f>IF(OR(A206="",D206=""),"",D206-H206-I206)</f>
        <v/>
      </c>
      <c r="L206" s="12">
        <f>IF(K206="","",IF(K206&gt;0,"На руках",IF(I206&gt;0,IF(H206&gt;0,"Удержан частично","Удержан"),"Возвращён")))</f>
        <v/>
      </c>
      <c r="M206" s="10" t="n"/>
      <c r="N206" s="19">
        <f>IF(K206="","",IF(K206&gt;0,IFERROR(IF(INDEX(Брони!$F$2:$F$500,MATCH(A206,Брони!$A$2:$A$500,0))="Возвращена",TODAY()-INT(INDEX(Брони!$E$2:$E$500,MATCH(A206,Брони!$A$2:$A$500,0))),""),""),""))</f>
        <v/>
      </c>
      <c r="O206" s="19">
        <f>IF(OR(N206="",Настройки!$B$8=""),"",IF(N206&gt;Настройки!$B$8,1,""))</f>
        <v/>
      </c>
    </row>
    <row r="207">
      <c r="A207" s="9" t="n"/>
      <c r="B207" s="12">
        <f>IF(A207="","",IFERROR(INDEX(Брони!$C$2:$C$500,MATCH(A207,Брони!$A$2:$A$500,0)),""))</f>
        <v/>
      </c>
      <c r="C207" s="12">
        <f>IF(A207="","",IFERROR(INDEX(Брони!$B$2:$B$500,MATCH(A207,Брони!$A$2:$A$500,0)),""))</f>
        <v/>
      </c>
      <c r="D207" s="14" t="n"/>
      <c r="E207" s="10" t="n"/>
      <c r="F207" s="18" t="n"/>
      <c r="G207" s="18" t="n"/>
      <c r="H207" s="14" t="n"/>
      <c r="I207" s="14" t="n"/>
      <c r="J207" s="10" t="n"/>
      <c r="K207" s="15">
        <f>IF(OR(A207="",D207=""),"",D207-H207-I207)</f>
        <v/>
      </c>
      <c r="L207" s="12">
        <f>IF(K207="","",IF(K207&gt;0,"На руках",IF(I207&gt;0,IF(H207&gt;0,"Удержан частично","Удержан"),"Возвращён")))</f>
        <v/>
      </c>
      <c r="M207" s="10" t="n"/>
      <c r="N207" s="19">
        <f>IF(K207="","",IF(K207&gt;0,IFERROR(IF(INDEX(Брони!$F$2:$F$500,MATCH(A207,Брони!$A$2:$A$500,0))="Возвращена",TODAY()-INT(INDEX(Брони!$E$2:$E$500,MATCH(A207,Брони!$A$2:$A$500,0))),""),""),""))</f>
        <v/>
      </c>
      <c r="O207" s="19">
        <f>IF(OR(N207="",Настройки!$B$8=""),"",IF(N207&gt;Настройки!$B$8,1,""))</f>
        <v/>
      </c>
    </row>
    <row r="208">
      <c r="A208" s="9" t="n"/>
      <c r="B208" s="12">
        <f>IF(A208="","",IFERROR(INDEX(Брони!$C$2:$C$500,MATCH(A208,Брони!$A$2:$A$500,0)),""))</f>
        <v/>
      </c>
      <c r="C208" s="12">
        <f>IF(A208="","",IFERROR(INDEX(Брони!$B$2:$B$500,MATCH(A208,Брони!$A$2:$A$500,0)),""))</f>
        <v/>
      </c>
      <c r="D208" s="14" t="n"/>
      <c r="E208" s="10" t="n"/>
      <c r="F208" s="18" t="n"/>
      <c r="G208" s="18" t="n"/>
      <c r="H208" s="14" t="n"/>
      <c r="I208" s="14" t="n"/>
      <c r="J208" s="10" t="n"/>
      <c r="K208" s="15">
        <f>IF(OR(A208="",D208=""),"",D208-H208-I208)</f>
        <v/>
      </c>
      <c r="L208" s="12">
        <f>IF(K208="","",IF(K208&gt;0,"На руках",IF(I208&gt;0,IF(H208&gt;0,"Удержан частично","Удержан"),"Возвращён")))</f>
        <v/>
      </c>
      <c r="M208" s="10" t="n"/>
      <c r="N208" s="19">
        <f>IF(K208="","",IF(K208&gt;0,IFERROR(IF(INDEX(Брони!$F$2:$F$500,MATCH(A208,Брони!$A$2:$A$500,0))="Возвращена",TODAY()-INT(INDEX(Брони!$E$2:$E$500,MATCH(A208,Брони!$A$2:$A$500,0))),""),""),""))</f>
        <v/>
      </c>
      <c r="O208" s="19">
        <f>IF(OR(N208="",Настройки!$B$8=""),"",IF(N208&gt;Настройки!$B$8,1,""))</f>
        <v/>
      </c>
    </row>
    <row r="209">
      <c r="A209" s="9" t="n"/>
      <c r="B209" s="12">
        <f>IF(A209="","",IFERROR(INDEX(Брони!$C$2:$C$500,MATCH(A209,Брони!$A$2:$A$500,0)),""))</f>
        <v/>
      </c>
      <c r="C209" s="12">
        <f>IF(A209="","",IFERROR(INDEX(Брони!$B$2:$B$500,MATCH(A209,Брони!$A$2:$A$500,0)),""))</f>
        <v/>
      </c>
      <c r="D209" s="14" t="n"/>
      <c r="E209" s="10" t="n"/>
      <c r="F209" s="18" t="n"/>
      <c r="G209" s="18" t="n"/>
      <c r="H209" s="14" t="n"/>
      <c r="I209" s="14" t="n"/>
      <c r="J209" s="10" t="n"/>
      <c r="K209" s="15">
        <f>IF(OR(A209="",D209=""),"",D209-H209-I209)</f>
        <v/>
      </c>
      <c r="L209" s="12">
        <f>IF(K209="","",IF(K209&gt;0,"На руках",IF(I209&gt;0,IF(H209&gt;0,"Удержан частично","Удержан"),"Возвращён")))</f>
        <v/>
      </c>
      <c r="M209" s="10" t="n"/>
      <c r="N209" s="19">
        <f>IF(K209="","",IF(K209&gt;0,IFERROR(IF(INDEX(Брони!$F$2:$F$500,MATCH(A209,Брони!$A$2:$A$500,0))="Возвращена",TODAY()-INT(INDEX(Брони!$E$2:$E$500,MATCH(A209,Брони!$A$2:$A$500,0))),""),""),""))</f>
        <v/>
      </c>
      <c r="O209" s="19">
        <f>IF(OR(N209="",Настройки!$B$8=""),"",IF(N209&gt;Настройки!$B$8,1,""))</f>
        <v/>
      </c>
    </row>
    <row r="210">
      <c r="A210" s="9" t="n"/>
      <c r="B210" s="12">
        <f>IF(A210="","",IFERROR(INDEX(Брони!$C$2:$C$500,MATCH(A210,Брони!$A$2:$A$500,0)),""))</f>
        <v/>
      </c>
      <c r="C210" s="12">
        <f>IF(A210="","",IFERROR(INDEX(Брони!$B$2:$B$500,MATCH(A210,Брони!$A$2:$A$500,0)),""))</f>
        <v/>
      </c>
      <c r="D210" s="14" t="n"/>
      <c r="E210" s="10" t="n"/>
      <c r="F210" s="18" t="n"/>
      <c r="G210" s="18" t="n"/>
      <c r="H210" s="14" t="n"/>
      <c r="I210" s="14" t="n"/>
      <c r="J210" s="10" t="n"/>
      <c r="K210" s="15">
        <f>IF(OR(A210="",D210=""),"",D210-H210-I210)</f>
        <v/>
      </c>
      <c r="L210" s="12">
        <f>IF(K210="","",IF(K210&gt;0,"На руках",IF(I210&gt;0,IF(H210&gt;0,"Удержан частично","Удержан"),"Возвращён")))</f>
        <v/>
      </c>
      <c r="M210" s="10" t="n"/>
      <c r="N210" s="19">
        <f>IF(K210="","",IF(K210&gt;0,IFERROR(IF(INDEX(Брони!$F$2:$F$500,MATCH(A210,Брони!$A$2:$A$500,0))="Возвращена",TODAY()-INT(INDEX(Брони!$E$2:$E$500,MATCH(A210,Брони!$A$2:$A$500,0))),""),""),""))</f>
        <v/>
      </c>
      <c r="O210" s="19">
        <f>IF(OR(N210="",Настройки!$B$8=""),"",IF(N210&gt;Настройки!$B$8,1,""))</f>
        <v/>
      </c>
    </row>
    <row r="211">
      <c r="A211" s="9" t="n"/>
      <c r="B211" s="12">
        <f>IF(A211="","",IFERROR(INDEX(Брони!$C$2:$C$500,MATCH(A211,Брони!$A$2:$A$500,0)),""))</f>
        <v/>
      </c>
      <c r="C211" s="12">
        <f>IF(A211="","",IFERROR(INDEX(Брони!$B$2:$B$500,MATCH(A211,Брони!$A$2:$A$500,0)),""))</f>
        <v/>
      </c>
      <c r="D211" s="14" t="n"/>
      <c r="E211" s="10" t="n"/>
      <c r="F211" s="18" t="n"/>
      <c r="G211" s="18" t="n"/>
      <c r="H211" s="14" t="n"/>
      <c r="I211" s="14" t="n"/>
      <c r="J211" s="10" t="n"/>
      <c r="K211" s="15">
        <f>IF(OR(A211="",D211=""),"",D211-H211-I211)</f>
        <v/>
      </c>
      <c r="L211" s="12">
        <f>IF(K211="","",IF(K211&gt;0,"На руках",IF(I211&gt;0,IF(H211&gt;0,"Удержан частично","Удержан"),"Возвращён")))</f>
        <v/>
      </c>
      <c r="M211" s="10" t="n"/>
      <c r="N211" s="19">
        <f>IF(K211="","",IF(K211&gt;0,IFERROR(IF(INDEX(Брони!$F$2:$F$500,MATCH(A211,Брони!$A$2:$A$500,0))="Возвращена",TODAY()-INT(INDEX(Брони!$E$2:$E$500,MATCH(A211,Брони!$A$2:$A$500,0))),""),""),""))</f>
        <v/>
      </c>
      <c r="O211" s="19">
        <f>IF(OR(N211="",Настройки!$B$8=""),"",IF(N211&gt;Настройки!$B$8,1,""))</f>
        <v/>
      </c>
    </row>
    <row r="212">
      <c r="A212" s="9" t="n"/>
      <c r="B212" s="12">
        <f>IF(A212="","",IFERROR(INDEX(Брони!$C$2:$C$500,MATCH(A212,Брони!$A$2:$A$500,0)),""))</f>
        <v/>
      </c>
      <c r="C212" s="12">
        <f>IF(A212="","",IFERROR(INDEX(Брони!$B$2:$B$500,MATCH(A212,Брони!$A$2:$A$500,0)),""))</f>
        <v/>
      </c>
      <c r="D212" s="14" t="n"/>
      <c r="E212" s="10" t="n"/>
      <c r="F212" s="18" t="n"/>
      <c r="G212" s="18" t="n"/>
      <c r="H212" s="14" t="n"/>
      <c r="I212" s="14" t="n"/>
      <c r="J212" s="10" t="n"/>
      <c r="K212" s="15">
        <f>IF(OR(A212="",D212=""),"",D212-H212-I212)</f>
        <v/>
      </c>
      <c r="L212" s="12">
        <f>IF(K212="","",IF(K212&gt;0,"На руках",IF(I212&gt;0,IF(H212&gt;0,"Удержан частично","Удержан"),"Возвращён")))</f>
        <v/>
      </c>
      <c r="M212" s="10" t="n"/>
      <c r="N212" s="19">
        <f>IF(K212="","",IF(K212&gt;0,IFERROR(IF(INDEX(Брони!$F$2:$F$500,MATCH(A212,Брони!$A$2:$A$500,0))="Возвращена",TODAY()-INT(INDEX(Брони!$E$2:$E$500,MATCH(A212,Брони!$A$2:$A$500,0))),""),""),""))</f>
        <v/>
      </c>
      <c r="O212" s="19">
        <f>IF(OR(N212="",Настройки!$B$8=""),"",IF(N212&gt;Настройки!$B$8,1,""))</f>
        <v/>
      </c>
    </row>
    <row r="213">
      <c r="A213" s="9" t="n"/>
      <c r="B213" s="12">
        <f>IF(A213="","",IFERROR(INDEX(Брони!$C$2:$C$500,MATCH(A213,Брони!$A$2:$A$500,0)),""))</f>
        <v/>
      </c>
      <c r="C213" s="12">
        <f>IF(A213="","",IFERROR(INDEX(Брони!$B$2:$B$500,MATCH(A213,Брони!$A$2:$A$500,0)),""))</f>
        <v/>
      </c>
      <c r="D213" s="14" t="n"/>
      <c r="E213" s="10" t="n"/>
      <c r="F213" s="18" t="n"/>
      <c r="G213" s="18" t="n"/>
      <c r="H213" s="14" t="n"/>
      <c r="I213" s="14" t="n"/>
      <c r="J213" s="10" t="n"/>
      <c r="K213" s="15">
        <f>IF(OR(A213="",D213=""),"",D213-H213-I213)</f>
        <v/>
      </c>
      <c r="L213" s="12">
        <f>IF(K213="","",IF(K213&gt;0,"На руках",IF(I213&gt;0,IF(H213&gt;0,"Удержан частично","Удержан"),"Возвращён")))</f>
        <v/>
      </c>
      <c r="M213" s="10" t="n"/>
      <c r="N213" s="19">
        <f>IF(K213="","",IF(K213&gt;0,IFERROR(IF(INDEX(Брони!$F$2:$F$500,MATCH(A213,Брони!$A$2:$A$500,0))="Возвращена",TODAY()-INT(INDEX(Брони!$E$2:$E$500,MATCH(A213,Брони!$A$2:$A$500,0))),""),""),""))</f>
        <v/>
      </c>
      <c r="O213" s="19">
        <f>IF(OR(N213="",Настройки!$B$8=""),"",IF(N213&gt;Настройки!$B$8,1,""))</f>
        <v/>
      </c>
    </row>
    <row r="214">
      <c r="A214" s="9" t="n"/>
      <c r="B214" s="12">
        <f>IF(A214="","",IFERROR(INDEX(Брони!$C$2:$C$500,MATCH(A214,Брони!$A$2:$A$500,0)),""))</f>
        <v/>
      </c>
      <c r="C214" s="12">
        <f>IF(A214="","",IFERROR(INDEX(Брони!$B$2:$B$500,MATCH(A214,Брони!$A$2:$A$500,0)),""))</f>
        <v/>
      </c>
      <c r="D214" s="14" t="n"/>
      <c r="E214" s="10" t="n"/>
      <c r="F214" s="18" t="n"/>
      <c r="G214" s="18" t="n"/>
      <c r="H214" s="14" t="n"/>
      <c r="I214" s="14" t="n"/>
      <c r="J214" s="10" t="n"/>
      <c r="K214" s="15">
        <f>IF(OR(A214="",D214=""),"",D214-H214-I214)</f>
        <v/>
      </c>
      <c r="L214" s="12">
        <f>IF(K214="","",IF(K214&gt;0,"На руках",IF(I214&gt;0,IF(H214&gt;0,"Удержан частично","Удержан"),"Возвращён")))</f>
        <v/>
      </c>
      <c r="M214" s="10" t="n"/>
      <c r="N214" s="19">
        <f>IF(K214="","",IF(K214&gt;0,IFERROR(IF(INDEX(Брони!$F$2:$F$500,MATCH(A214,Брони!$A$2:$A$500,0))="Возвращена",TODAY()-INT(INDEX(Брони!$E$2:$E$500,MATCH(A214,Брони!$A$2:$A$500,0))),""),""),""))</f>
        <v/>
      </c>
      <c r="O214" s="19">
        <f>IF(OR(N214="",Настройки!$B$8=""),"",IF(N214&gt;Настройки!$B$8,1,""))</f>
        <v/>
      </c>
    </row>
    <row r="215">
      <c r="A215" s="9" t="n"/>
      <c r="B215" s="12">
        <f>IF(A215="","",IFERROR(INDEX(Брони!$C$2:$C$500,MATCH(A215,Брони!$A$2:$A$500,0)),""))</f>
        <v/>
      </c>
      <c r="C215" s="12">
        <f>IF(A215="","",IFERROR(INDEX(Брони!$B$2:$B$500,MATCH(A215,Брони!$A$2:$A$500,0)),""))</f>
        <v/>
      </c>
      <c r="D215" s="14" t="n"/>
      <c r="E215" s="10" t="n"/>
      <c r="F215" s="18" t="n"/>
      <c r="G215" s="18" t="n"/>
      <c r="H215" s="14" t="n"/>
      <c r="I215" s="14" t="n"/>
      <c r="J215" s="10" t="n"/>
      <c r="K215" s="15">
        <f>IF(OR(A215="",D215=""),"",D215-H215-I215)</f>
        <v/>
      </c>
      <c r="L215" s="12">
        <f>IF(K215="","",IF(K215&gt;0,"На руках",IF(I215&gt;0,IF(H215&gt;0,"Удержан частично","Удержан"),"Возвращён")))</f>
        <v/>
      </c>
      <c r="M215" s="10" t="n"/>
      <c r="N215" s="19">
        <f>IF(K215="","",IF(K215&gt;0,IFERROR(IF(INDEX(Брони!$F$2:$F$500,MATCH(A215,Брони!$A$2:$A$500,0))="Возвращена",TODAY()-INT(INDEX(Брони!$E$2:$E$500,MATCH(A215,Брони!$A$2:$A$500,0))),""),""),""))</f>
        <v/>
      </c>
      <c r="O215" s="19">
        <f>IF(OR(N215="",Настройки!$B$8=""),"",IF(N215&gt;Настройки!$B$8,1,""))</f>
        <v/>
      </c>
    </row>
    <row r="216">
      <c r="A216" s="9" t="n"/>
      <c r="B216" s="12">
        <f>IF(A216="","",IFERROR(INDEX(Брони!$C$2:$C$500,MATCH(A216,Брони!$A$2:$A$500,0)),""))</f>
        <v/>
      </c>
      <c r="C216" s="12">
        <f>IF(A216="","",IFERROR(INDEX(Брони!$B$2:$B$500,MATCH(A216,Брони!$A$2:$A$500,0)),""))</f>
        <v/>
      </c>
      <c r="D216" s="14" t="n"/>
      <c r="E216" s="10" t="n"/>
      <c r="F216" s="18" t="n"/>
      <c r="G216" s="18" t="n"/>
      <c r="H216" s="14" t="n"/>
      <c r="I216" s="14" t="n"/>
      <c r="J216" s="10" t="n"/>
      <c r="K216" s="15">
        <f>IF(OR(A216="",D216=""),"",D216-H216-I216)</f>
        <v/>
      </c>
      <c r="L216" s="12">
        <f>IF(K216="","",IF(K216&gt;0,"На руках",IF(I216&gt;0,IF(H216&gt;0,"Удержан частично","Удержан"),"Возвращён")))</f>
        <v/>
      </c>
      <c r="M216" s="10" t="n"/>
      <c r="N216" s="19">
        <f>IF(K216="","",IF(K216&gt;0,IFERROR(IF(INDEX(Брони!$F$2:$F$500,MATCH(A216,Брони!$A$2:$A$500,0))="Возвращена",TODAY()-INT(INDEX(Брони!$E$2:$E$500,MATCH(A216,Брони!$A$2:$A$500,0))),""),""),""))</f>
        <v/>
      </c>
      <c r="O216" s="19">
        <f>IF(OR(N216="",Настройки!$B$8=""),"",IF(N216&gt;Настройки!$B$8,1,""))</f>
        <v/>
      </c>
    </row>
    <row r="217">
      <c r="A217" s="9" t="n"/>
      <c r="B217" s="12">
        <f>IF(A217="","",IFERROR(INDEX(Брони!$C$2:$C$500,MATCH(A217,Брони!$A$2:$A$500,0)),""))</f>
        <v/>
      </c>
      <c r="C217" s="12">
        <f>IF(A217="","",IFERROR(INDEX(Брони!$B$2:$B$500,MATCH(A217,Брони!$A$2:$A$500,0)),""))</f>
        <v/>
      </c>
      <c r="D217" s="14" t="n"/>
      <c r="E217" s="10" t="n"/>
      <c r="F217" s="18" t="n"/>
      <c r="G217" s="18" t="n"/>
      <c r="H217" s="14" t="n"/>
      <c r="I217" s="14" t="n"/>
      <c r="J217" s="10" t="n"/>
      <c r="K217" s="15">
        <f>IF(OR(A217="",D217=""),"",D217-H217-I217)</f>
        <v/>
      </c>
      <c r="L217" s="12">
        <f>IF(K217="","",IF(K217&gt;0,"На руках",IF(I217&gt;0,IF(H217&gt;0,"Удержан частично","Удержан"),"Возвращён")))</f>
        <v/>
      </c>
      <c r="M217" s="10" t="n"/>
      <c r="N217" s="19">
        <f>IF(K217="","",IF(K217&gt;0,IFERROR(IF(INDEX(Брони!$F$2:$F$500,MATCH(A217,Брони!$A$2:$A$500,0))="Возвращена",TODAY()-INT(INDEX(Брони!$E$2:$E$500,MATCH(A217,Брони!$A$2:$A$500,0))),""),""),""))</f>
        <v/>
      </c>
      <c r="O217" s="19">
        <f>IF(OR(N217="",Настройки!$B$8=""),"",IF(N217&gt;Настройки!$B$8,1,""))</f>
        <v/>
      </c>
    </row>
    <row r="218">
      <c r="A218" s="9" t="n"/>
      <c r="B218" s="12">
        <f>IF(A218="","",IFERROR(INDEX(Брони!$C$2:$C$500,MATCH(A218,Брони!$A$2:$A$500,0)),""))</f>
        <v/>
      </c>
      <c r="C218" s="12">
        <f>IF(A218="","",IFERROR(INDEX(Брони!$B$2:$B$500,MATCH(A218,Брони!$A$2:$A$500,0)),""))</f>
        <v/>
      </c>
      <c r="D218" s="14" t="n"/>
      <c r="E218" s="10" t="n"/>
      <c r="F218" s="18" t="n"/>
      <c r="G218" s="18" t="n"/>
      <c r="H218" s="14" t="n"/>
      <c r="I218" s="14" t="n"/>
      <c r="J218" s="10" t="n"/>
      <c r="K218" s="15">
        <f>IF(OR(A218="",D218=""),"",D218-H218-I218)</f>
        <v/>
      </c>
      <c r="L218" s="12">
        <f>IF(K218="","",IF(K218&gt;0,"На руках",IF(I218&gt;0,IF(H218&gt;0,"Удержан частично","Удержан"),"Возвращён")))</f>
        <v/>
      </c>
      <c r="M218" s="10" t="n"/>
      <c r="N218" s="19">
        <f>IF(K218="","",IF(K218&gt;0,IFERROR(IF(INDEX(Брони!$F$2:$F$500,MATCH(A218,Брони!$A$2:$A$500,0))="Возвращена",TODAY()-INT(INDEX(Брони!$E$2:$E$500,MATCH(A218,Брони!$A$2:$A$500,0))),""),""),""))</f>
        <v/>
      </c>
      <c r="O218" s="19">
        <f>IF(OR(N218="",Настройки!$B$8=""),"",IF(N218&gt;Настройки!$B$8,1,""))</f>
        <v/>
      </c>
    </row>
    <row r="219">
      <c r="A219" s="9" t="n"/>
      <c r="B219" s="12">
        <f>IF(A219="","",IFERROR(INDEX(Брони!$C$2:$C$500,MATCH(A219,Брони!$A$2:$A$500,0)),""))</f>
        <v/>
      </c>
      <c r="C219" s="12">
        <f>IF(A219="","",IFERROR(INDEX(Брони!$B$2:$B$500,MATCH(A219,Брони!$A$2:$A$500,0)),""))</f>
        <v/>
      </c>
      <c r="D219" s="14" t="n"/>
      <c r="E219" s="10" t="n"/>
      <c r="F219" s="18" t="n"/>
      <c r="G219" s="18" t="n"/>
      <c r="H219" s="14" t="n"/>
      <c r="I219" s="14" t="n"/>
      <c r="J219" s="10" t="n"/>
      <c r="K219" s="15">
        <f>IF(OR(A219="",D219=""),"",D219-H219-I219)</f>
        <v/>
      </c>
      <c r="L219" s="12">
        <f>IF(K219="","",IF(K219&gt;0,"На руках",IF(I219&gt;0,IF(H219&gt;0,"Удержан частично","Удержан"),"Возвращён")))</f>
        <v/>
      </c>
      <c r="M219" s="10" t="n"/>
      <c r="N219" s="19">
        <f>IF(K219="","",IF(K219&gt;0,IFERROR(IF(INDEX(Брони!$F$2:$F$500,MATCH(A219,Брони!$A$2:$A$500,0))="Возвращена",TODAY()-INT(INDEX(Брони!$E$2:$E$500,MATCH(A219,Брони!$A$2:$A$500,0))),""),""),""))</f>
        <v/>
      </c>
      <c r="O219" s="19">
        <f>IF(OR(N219="",Настройки!$B$8=""),"",IF(N219&gt;Настройки!$B$8,1,""))</f>
        <v/>
      </c>
    </row>
    <row r="220">
      <c r="A220" s="9" t="n"/>
      <c r="B220" s="12">
        <f>IF(A220="","",IFERROR(INDEX(Брони!$C$2:$C$500,MATCH(A220,Брони!$A$2:$A$500,0)),""))</f>
        <v/>
      </c>
      <c r="C220" s="12">
        <f>IF(A220="","",IFERROR(INDEX(Брони!$B$2:$B$500,MATCH(A220,Брони!$A$2:$A$500,0)),""))</f>
        <v/>
      </c>
      <c r="D220" s="14" t="n"/>
      <c r="E220" s="10" t="n"/>
      <c r="F220" s="18" t="n"/>
      <c r="G220" s="18" t="n"/>
      <c r="H220" s="14" t="n"/>
      <c r="I220" s="14" t="n"/>
      <c r="J220" s="10" t="n"/>
      <c r="K220" s="15">
        <f>IF(OR(A220="",D220=""),"",D220-H220-I220)</f>
        <v/>
      </c>
      <c r="L220" s="12">
        <f>IF(K220="","",IF(K220&gt;0,"На руках",IF(I220&gt;0,IF(H220&gt;0,"Удержан частично","Удержан"),"Возвращён")))</f>
        <v/>
      </c>
      <c r="M220" s="10" t="n"/>
      <c r="N220" s="19">
        <f>IF(K220="","",IF(K220&gt;0,IFERROR(IF(INDEX(Брони!$F$2:$F$500,MATCH(A220,Брони!$A$2:$A$500,0))="Возвращена",TODAY()-INT(INDEX(Брони!$E$2:$E$500,MATCH(A220,Брони!$A$2:$A$500,0))),""),""),""))</f>
        <v/>
      </c>
      <c r="O220" s="19">
        <f>IF(OR(N220="",Настройки!$B$8=""),"",IF(N220&gt;Настройки!$B$8,1,""))</f>
        <v/>
      </c>
    </row>
    <row r="221">
      <c r="A221" s="9" t="n"/>
      <c r="B221" s="12">
        <f>IF(A221="","",IFERROR(INDEX(Брони!$C$2:$C$500,MATCH(A221,Брони!$A$2:$A$500,0)),""))</f>
        <v/>
      </c>
      <c r="C221" s="12">
        <f>IF(A221="","",IFERROR(INDEX(Брони!$B$2:$B$500,MATCH(A221,Брони!$A$2:$A$500,0)),""))</f>
        <v/>
      </c>
      <c r="D221" s="14" t="n"/>
      <c r="E221" s="10" t="n"/>
      <c r="F221" s="18" t="n"/>
      <c r="G221" s="18" t="n"/>
      <c r="H221" s="14" t="n"/>
      <c r="I221" s="14" t="n"/>
      <c r="J221" s="10" t="n"/>
      <c r="K221" s="15">
        <f>IF(OR(A221="",D221=""),"",D221-H221-I221)</f>
        <v/>
      </c>
      <c r="L221" s="12">
        <f>IF(K221="","",IF(K221&gt;0,"На руках",IF(I221&gt;0,IF(H221&gt;0,"Удержан частично","Удержан"),"Возвращён")))</f>
        <v/>
      </c>
      <c r="M221" s="10" t="n"/>
      <c r="N221" s="19">
        <f>IF(K221="","",IF(K221&gt;0,IFERROR(IF(INDEX(Брони!$F$2:$F$500,MATCH(A221,Брони!$A$2:$A$500,0))="Возвращена",TODAY()-INT(INDEX(Брони!$E$2:$E$500,MATCH(A221,Брони!$A$2:$A$500,0))),""),""),""))</f>
        <v/>
      </c>
      <c r="O221" s="19">
        <f>IF(OR(N221="",Настройки!$B$8=""),"",IF(N221&gt;Настройки!$B$8,1,""))</f>
        <v/>
      </c>
    </row>
    <row r="222">
      <c r="A222" s="9" t="n"/>
      <c r="B222" s="12">
        <f>IF(A222="","",IFERROR(INDEX(Брони!$C$2:$C$500,MATCH(A222,Брони!$A$2:$A$500,0)),""))</f>
        <v/>
      </c>
      <c r="C222" s="12">
        <f>IF(A222="","",IFERROR(INDEX(Брони!$B$2:$B$500,MATCH(A222,Брони!$A$2:$A$500,0)),""))</f>
        <v/>
      </c>
      <c r="D222" s="14" t="n"/>
      <c r="E222" s="10" t="n"/>
      <c r="F222" s="18" t="n"/>
      <c r="G222" s="18" t="n"/>
      <c r="H222" s="14" t="n"/>
      <c r="I222" s="14" t="n"/>
      <c r="J222" s="10" t="n"/>
      <c r="K222" s="15">
        <f>IF(OR(A222="",D222=""),"",D222-H222-I222)</f>
        <v/>
      </c>
      <c r="L222" s="12">
        <f>IF(K222="","",IF(K222&gt;0,"На руках",IF(I222&gt;0,IF(H222&gt;0,"Удержан частично","Удержан"),"Возвращён")))</f>
        <v/>
      </c>
      <c r="M222" s="10" t="n"/>
      <c r="N222" s="19">
        <f>IF(K222="","",IF(K222&gt;0,IFERROR(IF(INDEX(Брони!$F$2:$F$500,MATCH(A222,Брони!$A$2:$A$500,0))="Возвращена",TODAY()-INT(INDEX(Брони!$E$2:$E$500,MATCH(A222,Брони!$A$2:$A$500,0))),""),""),""))</f>
        <v/>
      </c>
      <c r="O222" s="19">
        <f>IF(OR(N222="",Настройки!$B$8=""),"",IF(N222&gt;Настройки!$B$8,1,""))</f>
        <v/>
      </c>
    </row>
    <row r="223">
      <c r="A223" s="9" t="n"/>
      <c r="B223" s="12">
        <f>IF(A223="","",IFERROR(INDEX(Брони!$C$2:$C$500,MATCH(A223,Брони!$A$2:$A$500,0)),""))</f>
        <v/>
      </c>
      <c r="C223" s="12">
        <f>IF(A223="","",IFERROR(INDEX(Брони!$B$2:$B$500,MATCH(A223,Брони!$A$2:$A$500,0)),""))</f>
        <v/>
      </c>
      <c r="D223" s="14" t="n"/>
      <c r="E223" s="10" t="n"/>
      <c r="F223" s="18" t="n"/>
      <c r="G223" s="18" t="n"/>
      <c r="H223" s="14" t="n"/>
      <c r="I223" s="14" t="n"/>
      <c r="J223" s="10" t="n"/>
      <c r="K223" s="15">
        <f>IF(OR(A223="",D223=""),"",D223-H223-I223)</f>
        <v/>
      </c>
      <c r="L223" s="12">
        <f>IF(K223="","",IF(K223&gt;0,"На руках",IF(I223&gt;0,IF(H223&gt;0,"Удержан частично","Удержан"),"Возвращён")))</f>
        <v/>
      </c>
      <c r="M223" s="10" t="n"/>
      <c r="N223" s="19">
        <f>IF(K223="","",IF(K223&gt;0,IFERROR(IF(INDEX(Брони!$F$2:$F$500,MATCH(A223,Брони!$A$2:$A$500,0))="Возвращена",TODAY()-INT(INDEX(Брони!$E$2:$E$500,MATCH(A223,Брони!$A$2:$A$500,0))),""),""),""))</f>
        <v/>
      </c>
      <c r="O223" s="19">
        <f>IF(OR(N223="",Настройки!$B$8=""),"",IF(N223&gt;Настройки!$B$8,1,""))</f>
        <v/>
      </c>
    </row>
    <row r="224">
      <c r="A224" s="9" t="n"/>
      <c r="B224" s="12">
        <f>IF(A224="","",IFERROR(INDEX(Брони!$C$2:$C$500,MATCH(A224,Брони!$A$2:$A$500,0)),""))</f>
        <v/>
      </c>
      <c r="C224" s="12">
        <f>IF(A224="","",IFERROR(INDEX(Брони!$B$2:$B$500,MATCH(A224,Брони!$A$2:$A$500,0)),""))</f>
        <v/>
      </c>
      <c r="D224" s="14" t="n"/>
      <c r="E224" s="10" t="n"/>
      <c r="F224" s="18" t="n"/>
      <c r="G224" s="18" t="n"/>
      <c r="H224" s="14" t="n"/>
      <c r="I224" s="14" t="n"/>
      <c r="J224" s="10" t="n"/>
      <c r="K224" s="15">
        <f>IF(OR(A224="",D224=""),"",D224-H224-I224)</f>
        <v/>
      </c>
      <c r="L224" s="12">
        <f>IF(K224="","",IF(K224&gt;0,"На руках",IF(I224&gt;0,IF(H224&gt;0,"Удержан частично","Удержан"),"Возвращён")))</f>
        <v/>
      </c>
      <c r="M224" s="10" t="n"/>
      <c r="N224" s="19">
        <f>IF(K224="","",IF(K224&gt;0,IFERROR(IF(INDEX(Брони!$F$2:$F$500,MATCH(A224,Брони!$A$2:$A$500,0))="Возвращена",TODAY()-INT(INDEX(Брони!$E$2:$E$500,MATCH(A224,Брони!$A$2:$A$500,0))),""),""),""))</f>
        <v/>
      </c>
      <c r="O224" s="19">
        <f>IF(OR(N224="",Настройки!$B$8=""),"",IF(N224&gt;Настройки!$B$8,1,""))</f>
        <v/>
      </c>
    </row>
    <row r="225">
      <c r="A225" s="9" t="n"/>
      <c r="B225" s="12">
        <f>IF(A225="","",IFERROR(INDEX(Брони!$C$2:$C$500,MATCH(A225,Брони!$A$2:$A$500,0)),""))</f>
        <v/>
      </c>
      <c r="C225" s="12">
        <f>IF(A225="","",IFERROR(INDEX(Брони!$B$2:$B$500,MATCH(A225,Брони!$A$2:$A$500,0)),""))</f>
        <v/>
      </c>
      <c r="D225" s="14" t="n"/>
      <c r="E225" s="10" t="n"/>
      <c r="F225" s="18" t="n"/>
      <c r="G225" s="18" t="n"/>
      <c r="H225" s="14" t="n"/>
      <c r="I225" s="14" t="n"/>
      <c r="J225" s="10" t="n"/>
      <c r="K225" s="15">
        <f>IF(OR(A225="",D225=""),"",D225-H225-I225)</f>
        <v/>
      </c>
      <c r="L225" s="12">
        <f>IF(K225="","",IF(K225&gt;0,"На руках",IF(I225&gt;0,IF(H225&gt;0,"Удержан частично","Удержан"),"Возвращён")))</f>
        <v/>
      </c>
      <c r="M225" s="10" t="n"/>
      <c r="N225" s="19">
        <f>IF(K225="","",IF(K225&gt;0,IFERROR(IF(INDEX(Брони!$F$2:$F$500,MATCH(A225,Брони!$A$2:$A$500,0))="Возвращена",TODAY()-INT(INDEX(Брони!$E$2:$E$500,MATCH(A225,Брони!$A$2:$A$500,0))),""),""),""))</f>
        <v/>
      </c>
      <c r="O225" s="19">
        <f>IF(OR(N225="",Настройки!$B$8=""),"",IF(N225&gt;Настройки!$B$8,1,""))</f>
        <v/>
      </c>
    </row>
    <row r="226">
      <c r="A226" s="9" t="n"/>
      <c r="B226" s="12">
        <f>IF(A226="","",IFERROR(INDEX(Брони!$C$2:$C$500,MATCH(A226,Брони!$A$2:$A$500,0)),""))</f>
        <v/>
      </c>
      <c r="C226" s="12">
        <f>IF(A226="","",IFERROR(INDEX(Брони!$B$2:$B$500,MATCH(A226,Брони!$A$2:$A$500,0)),""))</f>
        <v/>
      </c>
      <c r="D226" s="14" t="n"/>
      <c r="E226" s="10" t="n"/>
      <c r="F226" s="18" t="n"/>
      <c r="G226" s="18" t="n"/>
      <c r="H226" s="14" t="n"/>
      <c r="I226" s="14" t="n"/>
      <c r="J226" s="10" t="n"/>
      <c r="K226" s="15">
        <f>IF(OR(A226="",D226=""),"",D226-H226-I226)</f>
        <v/>
      </c>
      <c r="L226" s="12">
        <f>IF(K226="","",IF(K226&gt;0,"На руках",IF(I226&gt;0,IF(H226&gt;0,"Удержан частично","Удержан"),"Возвращён")))</f>
        <v/>
      </c>
      <c r="M226" s="10" t="n"/>
      <c r="N226" s="19">
        <f>IF(K226="","",IF(K226&gt;0,IFERROR(IF(INDEX(Брони!$F$2:$F$500,MATCH(A226,Брони!$A$2:$A$500,0))="Возвращена",TODAY()-INT(INDEX(Брони!$E$2:$E$500,MATCH(A226,Брони!$A$2:$A$500,0))),""),""),""))</f>
        <v/>
      </c>
      <c r="O226" s="19">
        <f>IF(OR(N226="",Настройки!$B$8=""),"",IF(N226&gt;Настройки!$B$8,1,""))</f>
        <v/>
      </c>
    </row>
    <row r="227">
      <c r="A227" s="9" t="n"/>
      <c r="B227" s="12">
        <f>IF(A227="","",IFERROR(INDEX(Брони!$C$2:$C$500,MATCH(A227,Брони!$A$2:$A$500,0)),""))</f>
        <v/>
      </c>
      <c r="C227" s="12">
        <f>IF(A227="","",IFERROR(INDEX(Брони!$B$2:$B$500,MATCH(A227,Брони!$A$2:$A$500,0)),""))</f>
        <v/>
      </c>
      <c r="D227" s="14" t="n"/>
      <c r="E227" s="10" t="n"/>
      <c r="F227" s="18" t="n"/>
      <c r="G227" s="18" t="n"/>
      <c r="H227" s="14" t="n"/>
      <c r="I227" s="14" t="n"/>
      <c r="J227" s="10" t="n"/>
      <c r="K227" s="15">
        <f>IF(OR(A227="",D227=""),"",D227-H227-I227)</f>
        <v/>
      </c>
      <c r="L227" s="12">
        <f>IF(K227="","",IF(K227&gt;0,"На руках",IF(I227&gt;0,IF(H227&gt;0,"Удержан частично","Удержан"),"Возвращён")))</f>
        <v/>
      </c>
      <c r="M227" s="10" t="n"/>
      <c r="N227" s="19">
        <f>IF(K227="","",IF(K227&gt;0,IFERROR(IF(INDEX(Брони!$F$2:$F$500,MATCH(A227,Брони!$A$2:$A$500,0))="Возвращена",TODAY()-INT(INDEX(Брони!$E$2:$E$500,MATCH(A227,Брони!$A$2:$A$500,0))),""),""),""))</f>
        <v/>
      </c>
      <c r="O227" s="19">
        <f>IF(OR(N227="",Настройки!$B$8=""),"",IF(N227&gt;Настройки!$B$8,1,""))</f>
        <v/>
      </c>
    </row>
    <row r="228">
      <c r="A228" s="9" t="n"/>
      <c r="B228" s="12">
        <f>IF(A228="","",IFERROR(INDEX(Брони!$C$2:$C$500,MATCH(A228,Брони!$A$2:$A$500,0)),""))</f>
        <v/>
      </c>
      <c r="C228" s="12">
        <f>IF(A228="","",IFERROR(INDEX(Брони!$B$2:$B$500,MATCH(A228,Брони!$A$2:$A$500,0)),""))</f>
        <v/>
      </c>
      <c r="D228" s="14" t="n"/>
      <c r="E228" s="10" t="n"/>
      <c r="F228" s="18" t="n"/>
      <c r="G228" s="18" t="n"/>
      <c r="H228" s="14" t="n"/>
      <c r="I228" s="14" t="n"/>
      <c r="J228" s="10" t="n"/>
      <c r="K228" s="15">
        <f>IF(OR(A228="",D228=""),"",D228-H228-I228)</f>
        <v/>
      </c>
      <c r="L228" s="12">
        <f>IF(K228="","",IF(K228&gt;0,"На руках",IF(I228&gt;0,IF(H228&gt;0,"Удержан частично","Удержан"),"Возвращён")))</f>
        <v/>
      </c>
      <c r="M228" s="10" t="n"/>
      <c r="N228" s="19">
        <f>IF(K228="","",IF(K228&gt;0,IFERROR(IF(INDEX(Брони!$F$2:$F$500,MATCH(A228,Брони!$A$2:$A$500,0))="Возвращена",TODAY()-INT(INDEX(Брони!$E$2:$E$500,MATCH(A228,Брони!$A$2:$A$500,0))),""),""),""))</f>
        <v/>
      </c>
      <c r="O228" s="19">
        <f>IF(OR(N228="",Настройки!$B$8=""),"",IF(N228&gt;Настройки!$B$8,1,""))</f>
        <v/>
      </c>
    </row>
    <row r="229">
      <c r="A229" s="9" t="n"/>
      <c r="B229" s="12">
        <f>IF(A229="","",IFERROR(INDEX(Брони!$C$2:$C$500,MATCH(A229,Брони!$A$2:$A$500,0)),""))</f>
        <v/>
      </c>
      <c r="C229" s="12">
        <f>IF(A229="","",IFERROR(INDEX(Брони!$B$2:$B$500,MATCH(A229,Брони!$A$2:$A$500,0)),""))</f>
        <v/>
      </c>
      <c r="D229" s="14" t="n"/>
      <c r="E229" s="10" t="n"/>
      <c r="F229" s="18" t="n"/>
      <c r="G229" s="18" t="n"/>
      <c r="H229" s="14" t="n"/>
      <c r="I229" s="14" t="n"/>
      <c r="J229" s="10" t="n"/>
      <c r="K229" s="15">
        <f>IF(OR(A229="",D229=""),"",D229-H229-I229)</f>
        <v/>
      </c>
      <c r="L229" s="12">
        <f>IF(K229="","",IF(K229&gt;0,"На руках",IF(I229&gt;0,IF(H229&gt;0,"Удержан частично","Удержан"),"Возвращён")))</f>
        <v/>
      </c>
      <c r="M229" s="10" t="n"/>
      <c r="N229" s="19">
        <f>IF(K229="","",IF(K229&gt;0,IFERROR(IF(INDEX(Брони!$F$2:$F$500,MATCH(A229,Брони!$A$2:$A$500,0))="Возвращена",TODAY()-INT(INDEX(Брони!$E$2:$E$500,MATCH(A229,Брони!$A$2:$A$500,0))),""),""),""))</f>
        <v/>
      </c>
      <c r="O229" s="19">
        <f>IF(OR(N229="",Настройки!$B$8=""),"",IF(N229&gt;Настройки!$B$8,1,""))</f>
        <v/>
      </c>
    </row>
    <row r="230">
      <c r="A230" s="9" t="n"/>
      <c r="B230" s="12">
        <f>IF(A230="","",IFERROR(INDEX(Брони!$C$2:$C$500,MATCH(A230,Брони!$A$2:$A$500,0)),""))</f>
        <v/>
      </c>
      <c r="C230" s="12">
        <f>IF(A230="","",IFERROR(INDEX(Брони!$B$2:$B$500,MATCH(A230,Брони!$A$2:$A$500,0)),""))</f>
        <v/>
      </c>
      <c r="D230" s="14" t="n"/>
      <c r="E230" s="10" t="n"/>
      <c r="F230" s="18" t="n"/>
      <c r="G230" s="18" t="n"/>
      <c r="H230" s="14" t="n"/>
      <c r="I230" s="14" t="n"/>
      <c r="J230" s="10" t="n"/>
      <c r="K230" s="15">
        <f>IF(OR(A230="",D230=""),"",D230-H230-I230)</f>
        <v/>
      </c>
      <c r="L230" s="12">
        <f>IF(K230="","",IF(K230&gt;0,"На руках",IF(I230&gt;0,IF(H230&gt;0,"Удержан частично","Удержан"),"Возвращён")))</f>
        <v/>
      </c>
      <c r="M230" s="10" t="n"/>
      <c r="N230" s="19">
        <f>IF(K230="","",IF(K230&gt;0,IFERROR(IF(INDEX(Брони!$F$2:$F$500,MATCH(A230,Брони!$A$2:$A$500,0))="Возвращена",TODAY()-INT(INDEX(Брони!$E$2:$E$500,MATCH(A230,Брони!$A$2:$A$500,0))),""),""),""))</f>
        <v/>
      </c>
      <c r="O230" s="19">
        <f>IF(OR(N230="",Настройки!$B$8=""),"",IF(N230&gt;Настройки!$B$8,1,""))</f>
        <v/>
      </c>
    </row>
    <row r="231">
      <c r="A231" s="9" t="n"/>
      <c r="B231" s="12">
        <f>IF(A231="","",IFERROR(INDEX(Брони!$C$2:$C$500,MATCH(A231,Брони!$A$2:$A$500,0)),""))</f>
        <v/>
      </c>
      <c r="C231" s="12">
        <f>IF(A231="","",IFERROR(INDEX(Брони!$B$2:$B$500,MATCH(A231,Брони!$A$2:$A$500,0)),""))</f>
        <v/>
      </c>
      <c r="D231" s="14" t="n"/>
      <c r="E231" s="10" t="n"/>
      <c r="F231" s="18" t="n"/>
      <c r="G231" s="18" t="n"/>
      <c r="H231" s="14" t="n"/>
      <c r="I231" s="14" t="n"/>
      <c r="J231" s="10" t="n"/>
      <c r="K231" s="15">
        <f>IF(OR(A231="",D231=""),"",D231-H231-I231)</f>
        <v/>
      </c>
      <c r="L231" s="12">
        <f>IF(K231="","",IF(K231&gt;0,"На руках",IF(I231&gt;0,IF(H231&gt;0,"Удержан частично","Удержан"),"Возвращён")))</f>
        <v/>
      </c>
      <c r="M231" s="10" t="n"/>
      <c r="N231" s="19">
        <f>IF(K231="","",IF(K231&gt;0,IFERROR(IF(INDEX(Брони!$F$2:$F$500,MATCH(A231,Брони!$A$2:$A$500,0))="Возвращена",TODAY()-INT(INDEX(Брони!$E$2:$E$500,MATCH(A231,Брони!$A$2:$A$500,0))),""),""),""))</f>
        <v/>
      </c>
      <c r="O231" s="19">
        <f>IF(OR(N231="",Настройки!$B$8=""),"",IF(N231&gt;Настройки!$B$8,1,""))</f>
        <v/>
      </c>
    </row>
    <row r="232">
      <c r="A232" s="9" t="n"/>
      <c r="B232" s="12">
        <f>IF(A232="","",IFERROR(INDEX(Брони!$C$2:$C$500,MATCH(A232,Брони!$A$2:$A$500,0)),""))</f>
        <v/>
      </c>
      <c r="C232" s="12">
        <f>IF(A232="","",IFERROR(INDEX(Брони!$B$2:$B$500,MATCH(A232,Брони!$A$2:$A$500,0)),""))</f>
        <v/>
      </c>
      <c r="D232" s="14" t="n"/>
      <c r="E232" s="10" t="n"/>
      <c r="F232" s="18" t="n"/>
      <c r="G232" s="18" t="n"/>
      <c r="H232" s="14" t="n"/>
      <c r="I232" s="14" t="n"/>
      <c r="J232" s="10" t="n"/>
      <c r="K232" s="15">
        <f>IF(OR(A232="",D232=""),"",D232-H232-I232)</f>
        <v/>
      </c>
      <c r="L232" s="12">
        <f>IF(K232="","",IF(K232&gt;0,"На руках",IF(I232&gt;0,IF(H232&gt;0,"Удержан частично","Удержан"),"Возвращён")))</f>
        <v/>
      </c>
      <c r="M232" s="10" t="n"/>
      <c r="N232" s="19">
        <f>IF(K232="","",IF(K232&gt;0,IFERROR(IF(INDEX(Брони!$F$2:$F$500,MATCH(A232,Брони!$A$2:$A$500,0))="Возвращена",TODAY()-INT(INDEX(Брони!$E$2:$E$500,MATCH(A232,Брони!$A$2:$A$500,0))),""),""),""))</f>
        <v/>
      </c>
      <c r="O232" s="19">
        <f>IF(OR(N232="",Настройки!$B$8=""),"",IF(N232&gt;Настройки!$B$8,1,""))</f>
        <v/>
      </c>
    </row>
    <row r="233">
      <c r="A233" s="9" t="n"/>
      <c r="B233" s="12">
        <f>IF(A233="","",IFERROR(INDEX(Брони!$C$2:$C$500,MATCH(A233,Брони!$A$2:$A$500,0)),""))</f>
        <v/>
      </c>
      <c r="C233" s="12">
        <f>IF(A233="","",IFERROR(INDEX(Брони!$B$2:$B$500,MATCH(A233,Брони!$A$2:$A$500,0)),""))</f>
        <v/>
      </c>
      <c r="D233" s="14" t="n"/>
      <c r="E233" s="10" t="n"/>
      <c r="F233" s="18" t="n"/>
      <c r="G233" s="18" t="n"/>
      <c r="H233" s="14" t="n"/>
      <c r="I233" s="14" t="n"/>
      <c r="J233" s="10" t="n"/>
      <c r="K233" s="15">
        <f>IF(OR(A233="",D233=""),"",D233-H233-I233)</f>
        <v/>
      </c>
      <c r="L233" s="12">
        <f>IF(K233="","",IF(K233&gt;0,"На руках",IF(I233&gt;0,IF(H233&gt;0,"Удержан частично","Удержан"),"Возвращён")))</f>
        <v/>
      </c>
      <c r="M233" s="10" t="n"/>
      <c r="N233" s="19">
        <f>IF(K233="","",IF(K233&gt;0,IFERROR(IF(INDEX(Брони!$F$2:$F$500,MATCH(A233,Брони!$A$2:$A$500,0))="Возвращена",TODAY()-INT(INDEX(Брони!$E$2:$E$500,MATCH(A233,Брони!$A$2:$A$500,0))),""),""),""))</f>
        <v/>
      </c>
      <c r="O233" s="19">
        <f>IF(OR(N233="",Настройки!$B$8=""),"",IF(N233&gt;Настройки!$B$8,1,""))</f>
        <v/>
      </c>
    </row>
    <row r="234">
      <c r="A234" s="9" t="n"/>
      <c r="B234" s="12">
        <f>IF(A234="","",IFERROR(INDEX(Брони!$C$2:$C$500,MATCH(A234,Брони!$A$2:$A$500,0)),""))</f>
        <v/>
      </c>
      <c r="C234" s="12">
        <f>IF(A234="","",IFERROR(INDEX(Брони!$B$2:$B$500,MATCH(A234,Брони!$A$2:$A$500,0)),""))</f>
        <v/>
      </c>
      <c r="D234" s="14" t="n"/>
      <c r="E234" s="10" t="n"/>
      <c r="F234" s="18" t="n"/>
      <c r="G234" s="18" t="n"/>
      <c r="H234" s="14" t="n"/>
      <c r="I234" s="14" t="n"/>
      <c r="J234" s="10" t="n"/>
      <c r="K234" s="15">
        <f>IF(OR(A234="",D234=""),"",D234-H234-I234)</f>
        <v/>
      </c>
      <c r="L234" s="12">
        <f>IF(K234="","",IF(K234&gt;0,"На руках",IF(I234&gt;0,IF(H234&gt;0,"Удержан частично","Удержан"),"Возвращён")))</f>
        <v/>
      </c>
      <c r="M234" s="10" t="n"/>
      <c r="N234" s="19">
        <f>IF(K234="","",IF(K234&gt;0,IFERROR(IF(INDEX(Брони!$F$2:$F$500,MATCH(A234,Брони!$A$2:$A$500,0))="Возвращена",TODAY()-INT(INDEX(Брони!$E$2:$E$500,MATCH(A234,Брони!$A$2:$A$500,0))),""),""),""))</f>
        <v/>
      </c>
      <c r="O234" s="19">
        <f>IF(OR(N234="",Настройки!$B$8=""),"",IF(N234&gt;Настройки!$B$8,1,""))</f>
        <v/>
      </c>
    </row>
    <row r="235">
      <c r="A235" s="9" t="n"/>
      <c r="B235" s="12">
        <f>IF(A235="","",IFERROR(INDEX(Брони!$C$2:$C$500,MATCH(A235,Брони!$A$2:$A$500,0)),""))</f>
        <v/>
      </c>
      <c r="C235" s="12">
        <f>IF(A235="","",IFERROR(INDEX(Брони!$B$2:$B$500,MATCH(A235,Брони!$A$2:$A$500,0)),""))</f>
        <v/>
      </c>
      <c r="D235" s="14" t="n"/>
      <c r="E235" s="10" t="n"/>
      <c r="F235" s="18" t="n"/>
      <c r="G235" s="18" t="n"/>
      <c r="H235" s="14" t="n"/>
      <c r="I235" s="14" t="n"/>
      <c r="J235" s="10" t="n"/>
      <c r="K235" s="15">
        <f>IF(OR(A235="",D235=""),"",D235-H235-I235)</f>
        <v/>
      </c>
      <c r="L235" s="12">
        <f>IF(K235="","",IF(K235&gt;0,"На руках",IF(I235&gt;0,IF(H235&gt;0,"Удержан частично","Удержан"),"Возвращён")))</f>
        <v/>
      </c>
      <c r="M235" s="10" t="n"/>
      <c r="N235" s="19">
        <f>IF(K235="","",IF(K235&gt;0,IFERROR(IF(INDEX(Брони!$F$2:$F$500,MATCH(A235,Брони!$A$2:$A$500,0))="Возвращена",TODAY()-INT(INDEX(Брони!$E$2:$E$500,MATCH(A235,Брони!$A$2:$A$500,0))),""),""),""))</f>
        <v/>
      </c>
      <c r="O235" s="19">
        <f>IF(OR(N235="",Настройки!$B$8=""),"",IF(N235&gt;Настройки!$B$8,1,""))</f>
        <v/>
      </c>
    </row>
    <row r="236">
      <c r="A236" s="9" t="n"/>
      <c r="B236" s="12">
        <f>IF(A236="","",IFERROR(INDEX(Брони!$C$2:$C$500,MATCH(A236,Брони!$A$2:$A$500,0)),""))</f>
        <v/>
      </c>
      <c r="C236" s="12">
        <f>IF(A236="","",IFERROR(INDEX(Брони!$B$2:$B$500,MATCH(A236,Брони!$A$2:$A$500,0)),""))</f>
        <v/>
      </c>
      <c r="D236" s="14" t="n"/>
      <c r="E236" s="10" t="n"/>
      <c r="F236" s="18" t="n"/>
      <c r="G236" s="18" t="n"/>
      <c r="H236" s="14" t="n"/>
      <c r="I236" s="14" t="n"/>
      <c r="J236" s="10" t="n"/>
      <c r="K236" s="15">
        <f>IF(OR(A236="",D236=""),"",D236-H236-I236)</f>
        <v/>
      </c>
      <c r="L236" s="12">
        <f>IF(K236="","",IF(K236&gt;0,"На руках",IF(I236&gt;0,IF(H236&gt;0,"Удержан частично","Удержан"),"Возвращён")))</f>
        <v/>
      </c>
      <c r="M236" s="10" t="n"/>
      <c r="N236" s="19">
        <f>IF(K236="","",IF(K236&gt;0,IFERROR(IF(INDEX(Брони!$F$2:$F$500,MATCH(A236,Брони!$A$2:$A$500,0))="Возвращена",TODAY()-INT(INDEX(Брони!$E$2:$E$500,MATCH(A236,Брони!$A$2:$A$500,0))),""),""),""))</f>
        <v/>
      </c>
      <c r="O236" s="19">
        <f>IF(OR(N236="",Настройки!$B$8=""),"",IF(N236&gt;Настройки!$B$8,1,""))</f>
        <v/>
      </c>
    </row>
    <row r="237">
      <c r="A237" s="9" t="n"/>
      <c r="B237" s="12">
        <f>IF(A237="","",IFERROR(INDEX(Брони!$C$2:$C$500,MATCH(A237,Брони!$A$2:$A$500,0)),""))</f>
        <v/>
      </c>
      <c r="C237" s="12">
        <f>IF(A237="","",IFERROR(INDEX(Брони!$B$2:$B$500,MATCH(A237,Брони!$A$2:$A$500,0)),""))</f>
        <v/>
      </c>
      <c r="D237" s="14" t="n"/>
      <c r="E237" s="10" t="n"/>
      <c r="F237" s="18" t="n"/>
      <c r="G237" s="18" t="n"/>
      <c r="H237" s="14" t="n"/>
      <c r="I237" s="14" t="n"/>
      <c r="J237" s="10" t="n"/>
      <c r="K237" s="15">
        <f>IF(OR(A237="",D237=""),"",D237-H237-I237)</f>
        <v/>
      </c>
      <c r="L237" s="12">
        <f>IF(K237="","",IF(K237&gt;0,"На руках",IF(I237&gt;0,IF(H237&gt;0,"Удержан частично","Удержан"),"Возвращён")))</f>
        <v/>
      </c>
      <c r="M237" s="10" t="n"/>
      <c r="N237" s="19">
        <f>IF(K237="","",IF(K237&gt;0,IFERROR(IF(INDEX(Брони!$F$2:$F$500,MATCH(A237,Брони!$A$2:$A$500,0))="Возвращена",TODAY()-INT(INDEX(Брони!$E$2:$E$500,MATCH(A237,Брони!$A$2:$A$500,0))),""),""),""))</f>
        <v/>
      </c>
      <c r="O237" s="19">
        <f>IF(OR(N237="",Настройки!$B$8=""),"",IF(N237&gt;Настройки!$B$8,1,""))</f>
        <v/>
      </c>
    </row>
    <row r="238">
      <c r="A238" s="9" t="n"/>
      <c r="B238" s="12">
        <f>IF(A238="","",IFERROR(INDEX(Брони!$C$2:$C$500,MATCH(A238,Брони!$A$2:$A$500,0)),""))</f>
        <v/>
      </c>
      <c r="C238" s="12">
        <f>IF(A238="","",IFERROR(INDEX(Брони!$B$2:$B$500,MATCH(A238,Брони!$A$2:$A$500,0)),""))</f>
        <v/>
      </c>
      <c r="D238" s="14" t="n"/>
      <c r="E238" s="10" t="n"/>
      <c r="F238" s="18" t="n"/>
      <c r="G238" s="18" t="n"/>
      <c r="H238" s="14" t="n"/>
      <c r="I238" s="14" t="n"/>
      <c r="J238" s="10" t="n"/>
      <c r="K238" s="15">
        <f>IF(OR(A238="",D238=""),"",D238-H238-I238)</f>
        <v/>
      </c>
      <c r="L238" s="12">
        <f>IF(K238="","",IF(K238&gt;0,"На руках",IF(I238&gt;0,IF(H238&gt;0,"Удержан частично","Удержан"),"Возвращён")))</f>
        <v/>
      </c>
      <c r="M238" s="10" t="n"/>
      <c r="N238" s="19">
        <f>IF(K238="","",IF(K238&gt;0,IFERROR(IF(INDEX(Брони!$F$2:$F$500,MATCH(A238,Брони!$A$2:$A$500,0))="Возвращена",TODAY()-INT(INDEX(Брони!$E$2:$E$500,MATCH(A238,Брони!$A$2:$A$500,0))),""),""),""))</f>
        <v/>
      </c>
      <c r="O238" s="19">
        <f>IF(OR(N238="",Настройки!$B$8=""),"",IF(N238&gt;Настройки!$B$8,1,""))</f>
        <v/>
      </c>
    </row>
    <row r="239">
      <c r="A239" s="9" t="n"/>
      <c r="B239" s="12">
        <f>IF(A239="","",IFERROR(INDEX(Брони!$C$2:$C$500,MATCH(A239,Брони!$A$2:$A$500,0)),""))</f>
        <v/>
      </c>
      <c r="C239" s="12">
        <f>IF(A239="","",IFERROR(INDEX(Брони!$B$2:$B$500,MATCH(A239,Брони!$A$2:$A$500,0)),""))</f>
        <v/>
      </c>
      <c r="D239" s="14" t="n"/>
      <c r="E239" s="10" t="n"/>
      <c r="F239" s="18" t="n"/>
      <c r="G239" s="18" t="n"/>
      <c r="H239" s="14" t="n"/>
      <c r="I239" s="14" t="n"/>
      <c r="J239" s="10" t="n"/>
      <c r="K239" s="15">
        <f>IF(OR(A239="",D239=""),"",D239-H239-I239)</f>
        <v/>
      </c>
      <c r="L239" s="12">
        <f>IF(K239="","",IF(K239&gt;0,"На руках",IF(I239&gt;0,IF(H239&gt;0,"Удержан частично","Удержан"),"Возвращён")))</f>
        <v/>
      </c>
      <c r="M239" s="10" t="n"/>
      <c r="N239" s="19">
        <f>IF(K239="","",IF(K239&gt;0,IFERROR(IF(INDEX(Брони!$F$2:$F$500,MATCH(A239,Брони!$A$2:$A$500,0))="Возвращена",TODAY()-INT(INDEX(Брони!$E$2:$E$500,MATCH(A239,Брони!$A$2:$A$500,0))),""),""),""))</f>
        <v/>
      </c>
      <c r="O239" s="19">
        <f>IF(OR(N239="",Настройки!$B$8=""),"",IF(N239&gt;Настройки!$B$8,1,""))</f>
        <v/>
      </c>
    </row>
    <row r="240">
      <c r="A240" s="9" t="n"/>
      <c r="B240" s="12">
        <f>IF(A240="","",IFERROR(INDEX(Брони!$C$2:$C$500,MATCH(A240,Брони!$A$2:$A$500,0)),""))</f>
        <v/>
      </c>
      <c r="C240" s="12">
        <f>IF(A240="","",IFERROR(INDEX(Брони!$B$2:$B$500,MATCH(A240,Брони!$A$2:$A$500,0)),""))</f>
        <v/>
      </c>
      <c r="D240" s="14" t="n"/>
      <c r="E240" s="10" t="n"/>
      <c r="F240" s="18" t="n"/>
      <c r="G240" s="18" t="n"/>
      <c r="H240" s="14" t="n"/>
      <c r="I240" s="14" t="n"/>
      <c r="J240" s="10" t="n"/>
      <c r="K240" s="15">
        <f>IF(OR(A240="",D240=""),"",D240-H240-I240)</f>
        <v/>
      </c>
      <c r="L240" s="12">
        <f>IF(K240="","",IF(K240&gt;0,"На руках",IF(I240&gt;0,IF(H240&gt;0,"Удержан частично","Удержан"),"Возвращён")))</f>
        <v/>
      </c>
      <c r="M240" s="10" t="n"/>
      <c r="N240" s="19">
        <f>IF(K240="","",IF(K240&gt;0,IFERROR(IF(INDEX(Брони!$F$2:$F$500,MATCH(A240,Брони!$A$2:$A$500,0))="Возвращена",TODAY()-INT(INDEX(Брони!$E$2:$E$500,MATCH(A240,Брони!$A$2:$A$500,0))),""),""),""))</f>
        <v/>
      </c>
      <c r="O240" s="19">
        <f>IF(OR(N240="",Настройки!$B$8=""),"",IF(N240&gt;Настройки!$B$8,1,""))</f>
        <v/>
      </c>
    </row>
    <row r="241">
      <c r="A241" s="9" t="n"/>
      <c r="B241" s="12">
        <f>IF(A241="","",IFERROR(INDEX(Брони!$C$2:$C$500,MATCH(A241,Брони!$A$2:$A$500,0)),""))</f>
        <v/>
      </c>
      <c r="C241" s="12">
        <f>IF(A241="","",IFERROR(INDEX(Брони!$B$2:$B$500,MATCH(A241,Брони!$A$2:$A$500,0)),""))</f>
        <v/>
      </c>
      <c r="D241" s="14" t="n"/>
      <c r="E241" s="10" t="n"/>
      <c r="F241" s="18" t="n"/>
      <c r="G241" s="18" t="n"/>
      <c r="H241" s="14" t="n"/>
      <c r="I241" s="14" t="n"/>
      <c r="J241" s="10" t="n"/>
      <c r="K241" s="15">
        <f>IF(OR(A241="",D241=""),"",D241-H241-I241)</f>
        <v/>
      </c>
      <c r="L241" s="12">
        <f>IF(K241="","",IF(K241&gt;0,"На руках",IF(I241&gt;0,IF(H241&gt;0,"Удержан частично","Удержан"),"Возвращён")))</f>
        <v/>
      </c>
      <c r="M241" s="10" t="n"/>
      <c r="N241" s="19">
        <f>IF(K241="","",IF(K241&gt;0,IFERROR(IF(INDEX(Брони!$F$2:$F$500,MATCH(A241,Брони!$A$2:$A$500,0))="Возвращена",TODAY()-INT(INDEX(Брони!$E$2:$E$500,MATCH(A241,Брони!$A$2:$A$500,0))),""),""),""))</f>
        <v/>
      </c>
      <c r="O241" s="19">
        <f>IF(OR(N241="",Настройки!$B$8=""),"",IF(N241&gt;Настройки!$B$8,1,""))</f>
        <v/>
      </c>
    </row>
    <row r="242">
      <c r="A242" s="9" t="n"/>
      <c r="B242" s="12">
        <f>IF(A242="","",IFERROR(INDEX(Брони!$C$2:$C$500,MATCH(A242,Брони!$A$2:$A$500,0)),""))</f>
        <v/>
      </c>
      <c r="C242" s="12">
        <f>IF(A242="","",IFERROR(INDEX(Брони!$B$2:$B$500,MATCH(A242,Брони!$A$2:$A$500,0)),""))</f>
        <v/>
      </c>
      <c r="D242" s="14" t="n"/>
      <c r="E242" s="10" t="n"/>
      <c r="F242" s="18" t="n"/>
      <c r="G242" s="18" t="n"/>
      <c r="H242" s="14" t="n"/>
      <c r="I242" s="14" t="n"/>
      <c r="J242" s="10" t="n"/>
      <c r="K242" s="15">
        <f>IF(OR(A242="",D242=""),"",D242-H242-I242)</f>
        <v/>
      </c>
      <c r="L242" s="12">
        <f>IF(K242="","",IF(K242&gt;0,"На руках",IF(I242&gt;0,IF(H242&gt;0,"Удержан частично","Удержан"),"Возвращён")))</f>
        <v/>
      </c>
      <c r="M242" s="10" t="n"/>
      <c r="N242" s="19">
        <f>IF(K242="","",IF(K242&gt;0,IFERROR(IF(INDEX(Брони!$F$2:$F$500,MATCH(A242,Брони!$A$2:$A$500,0))="Возвращена",TODAY()-INT(INDEX(Брони!$E$2:$E$500,MATCH(A242,Брони!$A$2:$A$500,0))),""),""),""))</f>
        <v/>
      </c>
      <c r="O242" s="19">
        <f>IF(OR(N242="",Настройки!$B$8=""),"",IF(N242&gt;Настройки!$B$8,1,""))</f>
        <v/>
      </c>
    </row>
    <row r="243">
      <c r="A243" s="9" t="n"/>
      <c r="B243" s="12">
        <f>IF(A243="","",IFERROR(INDEX(Брони!$C$2:$C$500,MATCH(A243,Брони!$A$2:$A$500,0)),""))</f>
        <v/>
      </c>
      <c r="C243" s="12">
        <f>IF(A243="","",IFERROR(INDEX(Брони!$B$2:$B$500,MATCH(A243,Брони!$A$2:$A$500,0)),""))</f>
        <v/>
      </c>
      <c r="D243" s="14" t="n"/>
      <c r="E243" s="10" t="n"/>
      <c r="F243" s="18" t="n"/>
      <c r="G243" s="18" t="n"/>
      <c r="H243" s="14" t="n"/>
      <c r="I243" s="14" t="n"/>
      <c r="J243" s="10" t="n"/>
      <c r="K243" s="15">
        <f>IF(OR(A243="",D243=""),"",D243-H243-I243)</f>
        <v/>
      </c>
      <c r="L243" s="12">
        <f>IF(K243="","",IF(K243&gt;0,"На руках",IF(I243&gt;0,IF(H243&gt;0,"Удержан частично","Удержан"),"Возвращён")))</f>
        <v/>
      </c>
      <c r="M243" s="10" t="n"/>
      <c r="N243" s="19">
        <f>IF(K243="","",IF(K243&gt;0,IFERROR(IF(INDEX(Брони!$F$2:$F$500,MATCH(A243,Брони!$A$2:$A$500,0))="Возвращена",TODAY()-INT(INDEX(Брони!$E$2:$E$500,MATCH(A243,Брони!$A$2:$A$500,0))),""),""),""))</f>
        <v/>
      </c>
      <c r="O243" s="19">
        <f>IF(OR(N243="",Настройки!$B$8=""),"",IF(N243&gt;Настройки!$B$8,1,""))</f>
        <v/>
      </c>
    </row>
    <row r="244">
      <c r="A244" s="9" t="n"/>
      <c r="B244" s="12">
        <f>IF(A244="","",IFERROR(INDEX(Брони!$C$2:$C$500,MATCH(A244,Брони!$A$2:$A$500,0)),""))</f>
        <v/>
      </c>
      <c r="C244" s="12">
        <f>IF(A244="","",IFERROR(INDEX(Брони!$B$2:$B$500,MATCH(A244,Брони!$A$2:$A$500,0)),""))</f>
        <v/>
      </c>
      <c r="D244" s="14" t="n"/>
      <c r="E244" s="10" t="n"/>
      <c r="F244" s="18" t="n"/>
      <c r="G244" s="18" t="n"/>
      <c r="H244" s="14" t="n"/>
      <c r="I244" s="14" t="n"/>
      <c r="J244" s="10" t="n"/>
      <c r="K244" s="15">
        <f>IF(OR(A244="",D244=""),"",D244-H244-I244)</f>
        <v/>
      </c>
      <c r="L244" s="12">
        <f>IF(K244="","",IF(K244&gt;0,"На руках",IF(I244&gt;0,IF(H244&gt;0,"Удержан частично","Удержан"),"Возвращён")))</f>
        <v/>
      </c>
      <c r="M244" s="10" t="n"/>
      <c r="N244" s="19">
        <f>IF(K244="","",IF(K244&gt;0,IFERROR(IF(INDEX(Брони!$F$2:$F$500,MATCH(A244,Брони!$A$2:$A$500,0))="Возвращена",TODAY()-INT(INDEX(Брони!$E$2:$E$500,MATCH(A244,Брони!$A$2:$A$500,0))),""),""),""))</f>
        <v/>
      </c>
      <c r="O244" s="19">
        <f>IF(OR(N244="",Настройки!$B$8=""),"",IF(N244&gt;Настройки!$B$8,1,""))</f>
        <v/>
      </c>
    </row>
    <row r="245">
      <c r="A245" s="9" t="n"/>
      <c r="B245" s="12">
        <f>IF(A245="","",IFERROR(INDEX(Брони!$C$2:$C$500,MATCH(A245,Брони!$A$2:$A$500,0)),""))</f>
        <v/>
      </c>
      <c r="C245" s="12">
        <f>IF(A245="","",IFERROR(INDEX(Брони!$B$2:$B$500,MATCH(A245,Брони!$A$2:$A$500,0)),""))</f>
        <v/>
      </c>
      <c r="D245" s="14" t="n"/>
      <c r="E245" s="10" t="n"/>
      <c r="F245" s="18" t="n"/>
      <c r="G245" s="18" t="n"/>
      <c r="H245" s="14" t="n"/>
      <c r="I245" s="14" t="n"/>
      <c r="J245" s="10" t="n"/>
      <c r="K245" s="15">
        <f>IF(OR(A245="",D245=""),"",D245-H245-I245)</f>
        <v/>
      </c>
      <c r="L245" s="12">
        <f>IF(K245="","",IF(K245&gt;0,"На руках",IF(I245&gt;0,IF(H245&gt;0,"Удержан частично","Удержан"),"Возвращён")))</f>
        <v/>
      </c>
      <c r="M245" s="10" t="n"/>
      <c r="N245" s="19">
        <f>IF(K245="","",IF(K245&gt;0,IFERROR(IF(INDEX(Брони!$F$2:$F$500,MATCH(A245,Брони!$A$2:$A$500,0))="Возвращена",TODAY()-INT(INDEX(Брони!$E$2:$E$500,MATCH(A245,Брони!$A$2:$A$500,0))),""),""),""))</f>
        <v/>
      </c>
      <c r="O245" s="19">
        <f>IF(OR(N245="",Настройки!$B$8=""),"",IF(N245&gt;Настройки!$B$8,1,""))</f>
        <v/>
      </c>
    </row>
    <row r="246">
      <c r="A246" s="9" t="n"/>
      <c r="B246" s="12">
        <f>IF(A246="","",IFERROR(INDEX(Брони!$C$2:$C$500,MATCH(A246,Брони!$A$2:$A$500,0)),""))</f>
        <v/>
      </c>
      <c r="C246" s="12">
        <f>IF(A246="","",IFERROR(INDEX(Брони!$B$2:$B$500,MATCH(A246,Брони!$A$2:$A$500,0)),""))</f>
        <v/>
      </c>
      <c r="D246" s="14" t="n"/>
      <c r="E246" s="10" t="n"/>
      <c r="F246" s="18" t="n"/>
      <c r="G246" s="18" t="n"/>
      <c r="H246" s="14" t="n"/>
      <c r="I246" s="14" t="n"/>
      <c r="J246" s="10" t="n"/>
      <c r="K246" s="15">
        <f>IF(OR(A246="",D246=""),"",D246-H246-I246)</f>
        <v/>
      </c>
      <c r="L246" s="12">
        <f>IF(K246="","",IF(K246&gt;0,"На руках",IF(I246&gt;0,IF(H246&gt;0,"Удержан частично","Удержан"),"Возвращён")))</f>
        <v/>
      </c>
      <c r="M246" s="10" t="n"/>
      <c r="N246" s="19">
        <f>IF(K246="","",IF(K246&gt;0,IFERROR(IF(INDEX(Брони!$F$2:$F$500,MATCH(A246,Брони!$A$2:$A$500,0))="Возвращена",TODAY()-INT(INDEX(Брони!$E$2:$E$500,MATCH(A246,Брони!$A$2:$A$500,0))),""),""),""))</f>
        <v/>
      </c>
      <c r="O246" s="19">
        <f>IF(OR(N246="",Настройки!$B$8=""),"",IF(N246&gt;Настройки!$B$8,1,""))</f>
        <v/>
      </c>
    </row>
    <row r="247">
      <c r="A247" s="9" t="n"/>
      <c r="B247" s="12">
        <f>IF(A247="","",IFERROR(INDEX(Брони!$C$2:$C$500,MATCH(A247,Брони!$A$2:$A$500,0)),""))</f>
        <v/>
      </c>
      <c r="C247" s="12">
        <f>IF(A247="","",IFERROR(INDEX(Брони!$B$2:$B$500,MATCH(A247,Брони!$A$2:$A$500,0)),""))</f>
        <v/>
      </c>
      <c r="D247" s="14" t="n"/>
      <c r="E247" s="10" t="n"/>
      <c r="F247" s="18" t="n"/>
      <c r="G247" s="18" t="n"/>
      <c r="H247" s="14" t="n"/>
      <c r="I247" s="14" t="n"/>
      <c r="J247" s="10" t="n"/>
      <c r="K247" s="15">
        <f>IF(OR(A247="",D247=""),"",D247-H247-I247)</f>
        <v/>
      </c>
      <c r="L247" s="12">
        <f>IF(K247="","",IF(K247&gt;0,"На руках",IF(I247&gt;0,IF(H247&gt;0,"Удержан частично","Удержан"),"Возвращён")))</f>
        <v/>
      </c>
      <c r="M247" s="10" t="n"/>
      <c r="N247" s="19">
        <f>IF(K247="","",IF(K247&gt;0,IFERROR(IF(INDEX(Брони!$F$2:$F$500,MATCH(A247,Брони!$A$2:$A$500,0))="Возвращена",TODAY()-INT(INDEX(Брони!$E$2:$E$500,MATCH(A247,Брони!$A$2:$A$500,0))),""),""),""))</f>
        <v/>
      </c>
      <c r="O247" s="19">
        <f>IF(OR(N247="",Настройки!$B$8=""),"",IF(N247&gt;Настройки!$B$8,1,""))</f>
        <v/>
      </c>
    </row>
    <row r="248">
      <c r="A248" s="9" t="n"/>
      <c r="B248" s="12">
        <f>IF(A248="","",IFERROR(INDEX(Брони!$C$2:$C$500,MATCH(A248,Брони!$A$2:$A$500,0)),""))</f>
        <v/>
      </c>
      <c r="C248" s="12">
        <f>IF(A248="","",IFERROR(INDEX(Брони!$B$2:$B$500,MATCH(A248,Брони!$A$2:$A$500,0)),""))</f>
        <v/>
      </c>
      <c r="D248" s="14" t="n"/>
      <c r="E248" s="10" t="n"/>
      <c r="F248" s="18" t="n"/>
      <c r="G248" s="18" t="n"/>
      <c r="H248" s="14" t="n"/>
      <c r="I248" s="14" t="n"/>
      <c r="J248" s="10" t="n"/>
      <c r="K248" s="15">
        <f>IF(OR(A248="",D248=""),"",D248-H248-I248)</f>
        <v/>
      </c>
      <c r="L248" s="12">
        <f>IF(K248="","",IF(K248&gt;0,"На руках",IF(I248&gt;0,IF(H248&gt;0,"Удержан частично","Удержан"),"Возвращён")))</f>
        <v/>
      </c>
      <c r="M248" s="10" t="n"/>
      <c r="N248" s="19">
        <f>IF(K248="","",IF(K248&gt;0,IFERROR(IF(INDEX(Брони!$F$2:$F$500,MATCH(A248,Брони!$A$2:$A$500,0))="Возвращена",TODAY()-INT(INDEX(Брони!$E$2:$E$500,MATCH(A248,Брони!$A$2:$A$500,0))),""),""),""))</f>
        <v/>
      </c>
      <c r="O248" s="19">
        <f>IF(OR(N248="",Настройки!$B$8=""),"",IF(N248&gt;Настройки!$B$8,1,""))</f>
        <v/>
      </c>
    </row>
    <row r="249">
      <c r="A249" s="9" t="n"/>
      <c r="B249" s="12">
        <f>IF(A249="","",IFERROR(INDEX(Брони!$C$2:$C$500,MATCH(A249,Брони!$A$2:$A$500,0)),""))</f>
        <v/>
      </c>
      <c r="C249" s="12">
        <f>IF(A249="","",IFERROR(INDEX(Брони!$B$2:$B$500,MATCH(A249,Брони!$A$2:$A$500,0)),""))</f>
        <v/>
      </c>
      <c r="D249" s="14" t="n"/>
      <c r="E249" s="10" t="n"/>
      <c r="F249" s="18" t="n"/>
      <c r="G249" s="18" t="n"/>
      <c r="H249" s="14" t="n"/>
      <c r="I249" s="14" t="n"/>
      <c r="J249" s="10" t="n"/>
      <c r="K249" s="15">
        <f>IF(OR(A249="",D249=""),"",D249-H249-I249)</f>
        <v/>
      </c>
      <c r="L249" s="12">
        <f>IF(K249="","",IF(K249&gt;0,"На руках",IF(I249&gt;0,IF(H249&gt;0,"Удержан частично","Удержан"),"Возвращён")))</f>
        <v/>
      </c>
      <c r="M249" s="10" t="n"/>
      <c r="N249" s="19">
        <f>IF(K249="","",IF(K249&gt;0,IFERROR(IF(INDEX(Брони!$F$2:$F$500,MATCH(A249,Брони!$A$2:$A$500,0))="Возвращена",TODAY()-INT(INDEX(Брони!$E$2:$E$500,MATCH(A249,Брони!$A$2:$A$500,0))),""),""),""))</f>
        <v/>
      </c>
      <c r="O249" s="19">
        <f>IF(OR(N249="",Настройки!$B$8=""),"",IF(N249&gt;Настройки!$B$8,1,""))</f>
        <v/>
      </c>
    </row>
    <row r="250">
      <c r="A250" s="9" t="n"/>
      <c r="B250" s="12">
        <f>IF(A250="","",IFERROR(INDEX(Брони!$C$2:$C$500,MATCH(A250,Брони!$A$2:$A$500,0)),""))</f>
        <v/>
      </c>
      <c r="C250" s="12">
        <f>IF(A250="","",IFERROR(INDEX(Брони!$B$2:$B$500,MATCH(A250,Брони!$A$2:$A$500,0)),""))</f>
        <v/>
      </c>
      <c r="D250" s="14" t="n"/>
      <c r="E250" s="10" t="n"/>
      <c r="F250" s="18" t="n"/>
      <c r="G250" s="18" t="n"/>
      <c r="H250" s="14" t="n"/>
      <c r="I250" s="14" t="n"/>
      <c r="J250" s="10" t="n"/>
      <c r="K250" s="15">
        <f>IF(OR(A250="",D250=""),"",D250-H250-I250)</f>
        <v/>
      </c>
      <c r="L250" s="12">
        <f>IF(K250="","",IF(K250&gt;0,"На руках",IF(I250&gt;0,IF(H250&gt;0,"Удержан частично","Удержан"),"Возвращён")))</f>
        <v/>
      </c>
      <c r="M250" s="10" t="n"/>
      <c r="N250" s="19">
        <f>IF(K250="","",IF(K250&gt;0,IFERROR(IF(INDEX(Брони!$F$2:$F$500,MATCH(A250,Брони!$A$2:$A$500,0))="Возвращена",TODAY()-INT(INDEX(Брони!$E$2:$E$500,MATCH(A250,Брони!$A$2:$A$500,0))),""),""),""))</f>
        <v/>
      </c>
      <c r="O250" s="19">
        <f>IF(OR(N250="",Настройки!$B$8=""),"",IF(N250&gt;Настройки!$B$8,1,""))</f>
        <v/>
      </c>
    </row>
    <row r="251">
      <c r="A251" s="9" t="n"/>
      <c r="B251" s="12">
        <f>IF(A251="","",IFERROR(INDEX(Брони!$C$2:$C$500,MATCH(A251,Брони!$A$2:$A$500,0)),""))</f>
        <v/>
      </c>
      <c r="C251" s="12">
        <f>IF(A251="","",IFERROR(INDEX(Брони!$B$2:$B$500,MATCH(A251,Брони!$A$2:$A$500,0)),""))</f>
        <v/>
      </c>
      <c r="D251" s="14" t="n"/>
      <c r="E251" s="10" t="n"/>
      <c r="F251" s="18" t="n"/>
      <c r="G251" s="18" t="n"/>
      <c r="H251" s="14" t="n"/>
      <c r="I251" s="14" t="n"/>
      <c r="J251" s="10" t="n"/>
      <c r="K251" s="15">
        <f>IF(OR(A251="",D251=""),"",D251-H251-I251)</f>
        <v/>
      </c>
      <c r="L251" s="12">
        <f>IF(K251="","",IF(K251&gt;0,"На руках",IF(I251&gt;0,IF(H251&gt;0,"Удержан частично","Удержан"),"Возвращён")))</f>
        <v/>
      </c>
      <c r="M251" s="10" t="n"/>
      <c r="N251" s="19">
        <f>IF(K251="","",IF(K251&gt;0,IFERROR(IF(INDEX(Брони!$F$2:$F$500,MATCH(A251,Брони!$A$2:$A$500,0))="Возвращена",TODAY()-INT(INDEX(Брони!$E$2:$E$500,MATCH(A251,Брони!$A$2:$A$500,0))),""),""),""))</f>
        <v/>
      </c>
      <c r="O251" s="19">
        <f>IF(OR(N251="",Настройки!$B$8=""),"",IF(N251&gt;Настройки!$B$8,1,""))</f>
        <v/>
      </c>
    </row>
    <row r="252">
      <c r="A252" s="9" t="n"/>
      <c r="B252" s="12">
        <f>IF(A252="","",IFERROR(INDEX(Брони!$C$2:$C$500,MATCH(A252,Брони!$A$2:$A$500,0)),""))</f>
        <v/>
      </c>
      <c r="C252" s="12">
        <f>IF(A252="","",IFERROR(INDEX(Брони!$B$2:$B$500,MATCH(A252,Брони!$A$2:$A$500,0)),""))</f>
        <v/>
      </c>
      <c r="D252" s="14" t="n"/>
      <c r="E252" s="10" t="n"/>
      <c r="F252" s="18" t="n"/>
      <c r="G252" s="18" t="n"/>
      <c r="H252" s="14" t="n"/>
      <c r="I252" s="14" t="n"/>
      <c r="J252" s="10" t="n"/>
      <c r="K252" s="15">
        <f>IF(OR(A252="",D252=""),"",D252-H252-I252)</f>
        <v/>
      </c>
      <c r="L252" s="12">
        <f>IF(K252="","",IF(K252&gt;0,"На руках",IF(I252&gt;0,IF(H252&gt;0,"Удержан частично","Удержан"),"Возвращён")))</f>
        <v/>
      </c>
      <c r="M252" s="10" t="n"/>
      <c r="N252" s="19">
        <f>IF(K252="","",IF(K252&gt;0,IFERROR(IF(INDEX(Брони!$F$2:$F$500,MATCH(A252,Брони!$A$2:$A$500,0))="Возвращена",TODAY()-INT(INDEX(Брони!$E$2:$E$500,MATCH(A252,Брони!$A$2:$A$500,0))),""),""),""))</f>
        <v/>
      </c>
      <c r="O252" s="19">
        <f>IF(OR(N252="",Настройки!$B$8=""),"",IF(N252&gt;Настройки!$B$8,1,""))</f>
        <v/>
      </c>
    </row>
    <row r="253">
      <c r="A253" s="9" t="n"/>
      <c r="B253" s="12">
        <f>IF(A253="","",IFERROR(INDEX(Брони!$C$2:$C$500,MATCH(A253,Брони!$A$2:$A$500,0)),""))</f>
        <v/>
      </c>
      <c r="C253" s="12">
        <f>IF(A253="","",IFERROR(INDEX(Брони!$B$2:$B$500,MATCH(A253,Брони!$A$2:$A$500,0)),""))</f>
        <v/>
      </c>
      <c r="D253" s="14" t="n"/>
      <c r="E253" s="10" t="n"/>
      <c r="F253" s="18" t="n"/>
      <c r="G253" s="18" t="n"/>
      <c r="H253" s="14" t="n"/>
      <c r="I253" s="14" t="n"/>
      <c r="J253" s="10" t="n"/>
      <c r="K253" s="15">
        <f>IF(OR(A253="",D253=""),"",D253-H253-I253)</f>
        <v/>
      </c>
      <c r="L253" s="12">
        <f>IF(K253="","",IF(K253&gt;0,"На руках",IF(I253&gt;0,IF(H253&gt;0,"Удержан частично","Удержан"),"Возвращён")))</f>
        <v/>
      </c>
      <c r="M253" s="10" t="n"/>
      <c r="N253" s="19">
        <f>IF(K253="","",IF(K253&gt;0,IFERROR(IF(INDEX(Брони!$F$2:$F$500,MATCH(A253,Брони!$A$2:$A$500,0))="Возвращена",TODAY()-INT(INDEX(Брони!$E$2:$E$500,MATCH(A253,Брони!$A$2:$A$500,0))),""),""),""))</f>
        <v/>
      </c>
      <c r="O253" s="19">
        <f>IF(OR(N253="",Настройки!$B$8=""),"",IF(N253&gt;Настройки!$B$8,1,""))</f>
        <v/>
      </c>
    </row>
    <row r="254">
      <c r="A254" s="9" t="n"/>
      <c r="B254" s="12">
        <f>IF(A254="","",IFERROR(INDEX(Брони!$C$2:$C$500,MATCH(A254,Брони!$A$2:$A$500,0)),""))</f>
        <v/>
      </c>
      <c r="C254" s="12">
        <f>IF(A254="","",IFERROR(INDEX(Брони!$B$2:$B$500,MATCH(A254,Брони!$A$2:$A$500,0)),""))</f>
        <v/>
      </c>
      <c r="D254" s="14" t="n"/>
      <c r="E254" s="10" t="n"/>
      <c r="F254" s="18" t="n"/>
      <c r="G254" s="18" t="n"/>
      <c r="H254" s="14" t="n"/>
      <c r="I254" s="14" t="n"/>
      <c r="J254" s="10" t="n"/>
      <c r="K254" s="15">
        <f>IF(OR(A254="",D254=""),"",D254-H254-I254)</f>
        <v/>
      </c>
      <c r="L254" s="12">
        <f>IF(K254="","",IF(K254&gt;0,"На руках",IF(I254&gt;0,IF(H254&gt;0,"Удержан частично","Удержан"),"Возвращён")))</f>
        <v/>
      </c>
      <c r="M254" s="10" t="n"/>
      <c r="N254" s="19">
        <f>IF(K254="","",IF(K254&gt;0,IFERROR(IF(INDEX(Брони!$F$2:$F$500,MATCH(A254,Брони!$A$2:$A$500,0))="Возвращена",TODAY()-INT(INDEX(Брони!$E$2:$E$500,MATCH(A254,Брони!$A$2:$A$500,0))),""),""),""))</f>
        <v/>
      </c>
      <c r="O254" s="19">
        <f>IF(OR(N254="",Настройки!$B$8=""),"",IF(N254&gt;Настройки!$B$8,1,""))</f>
        <v/>
      </c>
    </row>
    <row r="255">
      <c r="A255" s="9" t="n"/>
      <c r="B255" s="12">
        <f>IF(A255="","",IFERROR(INDEX(Брони!$C$2:$C$500,MATCH(A255,Брони!$A$2:$A$500,0)),""))</f>
        <v/>
      </c>
      <c r="C255" s="12">
        <f>IF(A255="","",IFERROR(INDEX(Брони!$B$2:$B$500,MATCH(A255,Брони!$A$2:$A$500,0)),""))</f>
        <v/>
      </c>
      <c r="D255" s="14" t="n"/>
      <c r="E255" s="10" t="n"/>
      <c r="F255" s="18" t="n"/>
      <c r="G255" s="18" t="n"/>
      <c r="H255" s="14" t="n"/>
      <c r="I255" s="14" t="n"/>
      <c r="J255" s="10" t="n"/>
      <c r="K255" s="15">
        <f>IF(OR(A255="",D255=""),"",D255-H255-I255)</f>
        <v/>
      </c>
      <c r="L255" s="12">
        <f>IF(K255="","",IF(K255&gt;0,"На руках",IF(I255&gt;0,IF(H255&gt;0,"Удержан частично","Удержан"),"Возвращён")))</f>
        <v/>
      </c>
      <c r="M255" s="10" t="n"/>
      <c r="N255" s="19">
        <f>IF(K255="","",IF(K255&gt;0,IFERROR(IF(INDEX(Брони!$F$2:$F$500,MATCH(A255,Брони!$A$2:$A$500,0))="Возвращена",TODAY()-INT(INDEX(Брони!$E$2:$E$500,MATCH(A255,Брони!$A$2:$A$500,0))),""),""),""))</f>
        <v/>
      </c>
      <c r="O255" s="19">
        <f>IF(OR(N255="",Настройки!$B$8=""),"",IF(N255&gt;Настройки!$B$8,1,""))</f>
        <v/>
      </c>
    </row>
    <row r="256">
      <c r="A256" s="9" t="n"/>
      <c r="B256" s="12">
        <f>IF(A256="","",IFERROR(INDEX(Брони!$C$2:$C$500,MATCH(A256,Брони!$A$2:$A$500,0)),""))</f>
        <v/>
      </c>
      <c r="C256" s="12">
        <f>IF(A256="","",IFERROR(INDEX(Брони!$B$2:$B$500,MATCH(A256,Брони!$A$2:$A$500,0)),""))</f>
        <v/>
      </c>
      <c r="D256" s="14" t="n"/>
      <c r="E256" s="10" t="n"/>
      <c r="F256" s="18" t="n"/>
      <c r="G256" s="18" t="n"/>
      <c r="H256" s="14" t="n"/>
      <c r="I256" s="14" t="n"/>
      <c r="J256" s="10" t="n"/>
      <c r="K256" s="15">
        <f>IF(OR(A256="",D256=""),"",D256-H256-I256)</f>
        <v/>
      </c>
      <c r="L256" s="12">
        <f>IF(K256="","",IF(K256&gt;0,"На руках",IF(I256&gt;0,IF(H256&gt;0,"Удержан частично","Удержан"),"Возвращён")))</f>
        <v/>
      </c>
      <c r="M256" s="10" t="n"/>
      <c r="N256" s="19">
        <f>IF(K256="","",IF(K256&gt;0,IFERROR(IF(INDEX(Брони!$F$2:$F$500,MATCH(A256,Брони!$A$2:$A$500,0))="Возвращена",TODAY()-INT(INDEX(Брони!$E$2:$E$500,MATCH(A256,Брони!$A$2:$A$500,0))),""),""),""))</f>
        <v/>
      </c>
      <c r="O256" s="19">
        <f>IF(OR(N256="",Настройки!$B$8=""),"",IF(N256&gt;Настройки!$B$8,1,""))</f>
        <v/>
      </c>
    </row>
    <row r="257">
      <c r="A257" s="9" t="n"/>
      <c r="B257" s="12">
        <f>IF(A257="","",IFERROR(INDEX(Брони!$C$2:$C$500,MATCH(A257,Брони!$A$2:$A$500,0)),""))</f>
        <v/>
      </c>
      <c r="C257" s="12">
        <f>IF(A257="","",IFERROR(INDEX(Брони!$B$2:$B$500,MATCH(A257,Брони!$A$2:$A$500,0)),""))</f>
        <v/>
      </c>
      <c r="D257" s="14" t="n"/>
      <c r="E257" s="10" t="n"/>
      <c r="F257" s="18" t="n"/>
      <c r="G257" s="18" t="n"/>
      <c r="H257" s="14" t="n"/>
      <c r="I257" s="14" t="n"/>
      <c r="J257" s="10" t="n"/>
      <c r="K257" s="15">
        <f>IF(OR(A257="",D257=""),"",D257-H257-I257)</f>
        <v/>
      </c>
      <c r="L257" s="12">
        <f>IF(K257="","",IF(K257&gt;0,"На руках",IF(I257&gt;0,IF(H257&gt;0,"Удержан частично","Удержан"),"Возвращён")))</f>
        <v/>
      </c>
      <c r="M257" s="10" t="n"/>
      <c r="N257" s="19">
        <f>IF(K257="","",IF(K257&gt;0,IFERROR(IF(INDEX(Брони!$F$2:$F$500,MATCH(A257,Брони!$A$2:$A$500,0))="Возвращена",TODAY()-INT(INDEX(Брони!$E$2:$E$500,MATCH(A257,Брони!$A$2:$A$500,0))),""),""),""))</f>
        <v/>
      </c>
      <c r="O257" s="19">
        <f>IF(OR(N257="",Настройки!$B$8=""),"",IF(N257&gt;Настройки!$B$8,1,""))</f>
        <v/>
      </c>
    </row>
    <row r="258">
      <c r="A258" s="9" t="n"/>
      <c r="B258" s="12">
        <f>IF(A258="","",IFERROR(INDEX(Брони!$C$2:$C$500,MATCH(A258,Брони!$A$2:$A$500,0)),""))</f>
        <v/>
      </c>
      <c r="C258" s="12">
        <f>IF(A258="","",IFERROR(INDEX(Брони!$B$2:$B$500,MATCH(A258,Брони!$A$2:$A$500,0)),""))</f>
        <v/>
      </c>
      <c r="D258" s="14" t="n"/>
      <c r="E258" s="10" t="n"/>
      <c r="F258" s="18" t="n"/>
      <c r="G258" s="18" t="n"/>
      <c r="H258" s="14" t="n"/>
      <c r="I258" s="14" t="n"/>
      <c r="J258" s="10" t="n"/>
      <c r="K258" s="15">
        <f>IF(OR(A258="",D258=""),"",D258-H258-I258)</f>
        <v/>
      </c>
      <c r="L258" s="12">
        <f>IF(K258="","",IF(K258&gt;0,"На руках",IF(I258&gt;0,IF(H258&gt;0,"Удержан частично","Удержан"),"Возвращён")))</f>
        <v/>
      </c>
      <c r="M258" s="10" t="n"/>
      <c r="N258" s="19">
        <f>IF(K258="","",IF(K258&gt;0,IFERROR(IF(INDEX(Брони!$F$2:$F$500,MATCH(A258,Брони!$A$2:$A$500,0))="Возвращена",TODAY()-INT(INDEX(Брони!$E$2:$E$500,MATCH(A258,Брони!$A$2:$A$500,0))),""),""),""))</f>
        <v/>
      </c>
      <c r="O258" s="19">
        <f>IF(OR(N258="",Настройки!$B$8=""),"",IF(N258&gt;Настройки!$B$8,1,""))</f>
        <v/>
      </c>
    </row>
    <row r="259">
      <c r="A259" s="9" t="n"/>
      <c r="B259" s="12">
        <f>IF(A259="","",IFERROR(INDEX(Брони!$C$2:$C$500,MATCH(A259,Брони!$A$2:$A$500,0)),""))</f>
        <v/>
      </c>
      <c r="C259" s="12">
        <f>IF(A259="","",IFERROR(INDEX(Брони!$B$2:$B$500,MATCH(A259,Брони!$A$2:$A$500,0)),""))</f>
        <v/>
      </c>
      <c r="D259" s="14" t="n"/>
      <c r="E259" s="10" t="n"/>
      <c r="F259" s="18" t="n"/>
      <c r="G259" s="18" t="n"/>
      <c r="H259" s="14" t="n"/>
      <c r="I259" s="14" t="n"/>
      <c r="J259" s="10" t="n"/>
      <c r="K259" s="15">
        <f>IF(OR(A259="",D259=""),"",D259-H259-I259)</f>
        <v/>
      </c>
      <c r="L259" s="12">
        <f>IF(K259="","",IF(K259&gt;0,"На руках",IF(I259&gt;0,IF(H259&gt;0,"Удержан частично","Удержан"),"Возвращён")))</f>
        <v/>
      </c>
      <c r="M259" s="10" t="n"/>
      <c r="N259" s="19">
        <f>IF(K259="","",IF(K259&gt;0,IFERROR(IF(INDEX(Брони!$F$2:$F$500,MATCH(A259,Брони!$A$2:$A$500,0))="Возвращена",TODAY()-INT(INDEX(Брони!$E$2:$E$500,MATCH(A259,Брони!$A$2:$A$500,0))),""),""),""))</f>
        <v/>
      </c>
      <c r="O259" s="19">
        <f>IF(OR(N259="",Настройки!$B$8=""),"",IF(N259&gt;Настройки!$B$8,1,""))</f>
        <v/>
      </c>
    </row>
    <row r="260">
      <c r="A260" s="9" t="n"/>
      <c r="B260" s="12">
        <f>IF(A260="","",IFERROR(INDEX(Брони!$C$2:$C$500,MATCH(A260,Брони!$A$2:$A$500,0)),""))</f>
        <v/>
      </c>
      <c r="C260" s="12">
        <f>IF(A260="","",IFERROR(INDEX(Брони!$B$2:$B$500,MATCH(A260,Брони!$A$2:$A$500,0)),""))</f>
        <v/>
      </c>
      <c r="D260" s="14" t="n"/>
      <c r="E260" s="10" t="n"/>
      <c r="F260" s="18" t="n"/>
      <c r="G260" s="18" t="n"/>
      <c r="H260" s="14" t="n"/>
      <c r="I260" s="14" t="n"/>
      <c r="J260" s="10" t="n"/>
      <c r="K260" s="15">
        <f>IF(OR(A260="",D260=""),"",D260-H260-I260)</f>
        <v/>
      </c>
      <c r="L260" s="12">
        <f>IF(K260="","",IF(K260&gt;0,"На руках",IF(I260&gt;0,IF(H260&gt;0,"Удержан частично","Удержан"),"Возвращён")))</f>
        <v/>
      </c>
      <c r="M260" s="10" t="n"/>
      <c r="N260" s="19">
        <f>IF(K260="","",IF(K260&gt;0,IFERROR(IF(INDEX(Брони!$F$2:$F$500,MATCH(A260,Брони!$A$2:$A$500,0))="Возвращена",TODAY()-INT(INDEX(Брони!$E$2:$E$500,MATCH(A260,Брони!$A$2:$A$500,0))),""),""),""))</f>
        <v/>
      </c>
      <c r="O260" s="19">
        <f>IF(OR(N260="",Настройки!$B$8=""),"",IF(N260&gt;Настройки!$B$8,1,""))</f>
        <v/>
      </c>
    </row>
    <row r="261">
      <c r="A261" s="9" t="n"/>
      <c r="B261" s="12">
        <f>IF(A261="","",IFERROR(INDEX(Брони!$C$2:$C$500,MATCH(A261,Брони!$A$2:$A$500,0)),""))</f>
        <v/>
      </c>
      <c r="C261" s="12">
        <f>IF(A261="","",IFERROR(INDEX(Брони!$B$2:$B$500,MATCH(A261,Брони!$A$2:$A$500,0)),""))</f>
        <v/>
      </c>
      <c r="D261" s="14" t="n"/>
      <c r="E261" s="10" t="n"/>
      <c r="F261" s="18" t="n"/>
      <c r="G261" s="18" t="n"/>
      <c r="H261" s="14" t="n"/>
      <c r="I261" s="14" t="n"/>
      <c r="J261" s="10" t="n"/>
      <c r="K261" s="15">
        <f>IF(OR(A261="",D261=""),"",D261-H261-I261)</f>
        <v/>
      </c>
      <c r="L261" s="12">
        <f>IF(K261="","",IF(K261&gt;0,"На руках",IF(I261&gt;0,IF(H261&gt;0,"Удержан частично","Удержан"),"Возвращён")))</f>
        <v/>
      </c>
      <c r="M261" s="10" t="n"/>
      <c r="N261" s="19">
        <f>IF(K261="","",IF(K261&gt;0,IFERROR(IF(INDEX(Брони!$F$2:$F$500,MATCH(A261,Брони!$A$2:$A$500,0))="Возвращена",TODAY()-INT(INDEX(Брони!$E$2:$E$500,MATCH(A261,Брони!$A$2:$A$500,0))),""),""),""))</f>
        <v/>
      </c>
      <c r="O261" s="19">
        <f>IF(OR(N261="",Настройки!$B$8=""),"",IF(N261&gt;Настройки!$B$8,1,""))</f>
        <v/>
      </c>
    </row>
    <row r="262">
      <c r="A262" s="9" t="n"/>
      <c r="B262" s="12">
        <f>IF(A262="","",IFERROR(INDEX(Брони!$C$2:$C$500,MATCH(A262,Брони!$A$2:$A$500,0)),""))</f>
        <v/>
      </c>
      <c r="C262" s="12">
        <f>IF(A262="","",IFERROR(INDEX(Брони!$B$2:$B$500,MATCH(A262,Брони!$A$2:$A$500,0)),""))</f>
        <v/>
      </c>
      <c r="D262" s="14" t="n"/>
      <c r="E262" s="10" t="n"/>
      <c r="F262" s="18" t="n"/>
      <c r="G262" s="18" t="n"/>
      <c r="H262" s="14" t="n"/>
      <c r="I262" s="14" t="n"/>
      <c r="J262" s="10" t="n"/>
      <c r="K262" s="15">
        <f>IF(OR(A262="",D262=""),"",D262-H262-I262)</f>
        <v/>
      </c>
      <c r="L262" s="12">
        <f>IF(K262="","",IF(K262&gt;0,"На руках",IF(I262&gt;0,IF(H262&gt;0,"Удержан частично","Удержан"),"Возвращён")))</f>
        <v/>
      </c>
      <c r="M262" s="10" t="n"/>
      <c r="N262" s="19">
        <f>IF(K262="","",IF(K262&gt;0,IFERROR(IF(INDEX(Брони!$F$2:$F$500,MATCH(A262,Брони!$A$2:$A$500,0))="Возвращена",TODAY()-INT(INDEX(Брони!$E$2:$E$500,MATCH(A262,Брони!$A$2:$A$500,0))),""),""),""))</f>
        <v/>
      </c>
      <c r="O262" s="19">
        <f>IF(OR(N262="",Настройки!$B$8=""),"",IF(N262&gt;Настройки!$B$8,1,""))</f>
        <v/>
      </c>
    </row>
    <row r="263">
      <c r="A263" s="9" t="n"/>
      <c r="B263" s="12">
        <f>IF(A263="","",IFERROR(INDEX(Брони!$C$2:$C$500,MATCH(A263,Брони!$A$2:$A$500,0)),""))</f>
        <v/>
      </c>
      <c r="C263" s="12">
        <f>IF(A263="","",IFERROR(INDEX(Брони!$B$2:$B$500,MATCH(A263,Брони!$A$2:$A$500,0)),""))</f>
        <v/>
      </c>
      <c r="D263" s="14" t="n"/>
      <c r="E263" s="10" t="n"/>
      <c r="F263" s="18" t="n"/>
      <c r="G263" s="18" t="n"/>
      <c r="H263" s="14" t="n"/>
      <c r="I263" s="14" t="n"/>
      <c r="J263" s="10" t="n"/>
      <c r="K263" s="15">
        <f>IF(OR(A263="",D263=""),"",D263-H263-I263)</f>
        <v/>
      </c>
      <c r="L263" s="12">
        <f>IF(K263="","",IF(K263&gt;0,"На руках",IF(I263&gt;0,IF(H263&gt;0,"Удержан частично","Удержан"),"Возвращён")))</f>
        <v/>
      </c>
      <c r="M263" s="10" t="n"/>
      <c r="N263" s="19">
        <f>IF(K263="","",IF(K263&gt;0,IFERROR(IF(INDEX(Брони!$F$2:$F$500,MATCH(A263,Брони!$A$2:$A$500,0))="Возвращена",TODAY()-INT(INDEX(Брони!$E$2:$E$500,MATCH(A263,Брони!$A$2:$A$500,0))),""),""),""))</f>
        <v/>
      </c>
      <c r="O263" s="19">
        <f>IF(OR(N263="",Настройки!$B$8=""),"",IF(N263&gt;Настройки!$B$8,1,""))</f>
        <v/>
      </c>
    </row>
    <row r="264">
      <c r="A264" s="9" t="n"/>
      <c r="B264" s="12">
        <f>IF(A264="","",IFERROR(INDEX(Брони!$C$2:$C$500,MATCH(A264,Брони!$A$2:$A$500,0)),""))</f>
        <v/>
      </c>
      <c r="C264" s="12">
        <f>IF(A264="","",IFERROR(INDEX(Брони!$B$2:$B$500,MATCH(A264,Брони!$A$2:$A$500,0)),""))</f>
        <v/>
      </c>
      <c r="D264" s="14" t="n"/>
      <c r="E264" s="10" t="n"/>
      <c r="F264" s="18" t="n"/>
      <c r="G264" s="18" t="n"/>
      <c r="H264" s="14" t="n"/>
      <c r="I264" s="14" t="n"/>
      <c r="J264" s="10" t="n"/>
      <c r="K264" s="15">
        <f>IF(OR(A264="",D264=""),"",D264-H264-I264)</f>
        <v/>
      </c>
      <c r="L264" s="12">
        <f>IF(K264="","",IF(K264&gt;0,"На руках",IF(I264&gt;0,IF(H264&gt;0,"Удержан частично","Удержан"),"Возвращён")))</f>
        <v/>
      </c>
      <c r="M264" s="10" t="n"/>
      <c r="N264" s="19">
        <f>IF(K264="","",IF(K264&gt;0,IFERROR(IF(INDEX(Брони!$F$2:$F$500,MATCH(A264,Брони!$A$2:$A$500,0))="Возвращена",TODAY()-INT(INDEX(Брони!$E$2:$E$500,MATCH(A264,Брони!$A$2:$A$500,0))),""),""),""))</f>
        <v/>
      </c>
      <c r="O264" s="19">
        <f>IF(OR(N264="",Настройки!$B$8=""),"",IF(N264&gt;Настройки!$B$8,1,""))</f>
        <v/>
      </c>
    </row>
    <row r="265">
      <c r="A265" s="9" t="n"/>
      <c r="B265" s="12">
        <f>IF(A265="","",IFERROR(INDEX(Брони!$C$2:$C$500,MATCH(A265,Брони!$A$2:$A$500,0)),""))</f>
        <v/>
      </c>
      <c r="C265" s="12">
        <f>IF(A265="","",IFERROR(INDEX(Брони!$B$2:$B$500,MATCH(A265,Брони!$A$2:$A$500,0)),""))</f>
        <v/>
      </c>
      <c r="D265" s="14" t="n"/>
      <c r="E265" s="10" t="n"/>
      <c r="F265" s="18" t="n"/>
      <c r="G265" s="18" t="n"/>
      <c r="H265" s="14" t="n"/>
      <c r="I265" s="14" t="n"/>
      <c r="J265" s="10" t="n"/>
      <c r="K265" s="15">
        <f>IF(OR(A265="",D265=""),"",D265-H265-I265)</f>
        <v/>
      </c>
      <c r="L265" s="12">
        <f>IF(K265="","",IF(K265&gt;0,"На руках",IF(I265&gt;0,IF(H265&gt;0,"Удержан частично","Удержан"),"Возвращён")))</f>
        <v/>
      </c>
      <c r="M265" s="10" t="n"/>
      <c r="N265" s="19">
        <f>IF(K265="","",IF(K265&gt;0,IFERROR(IF(INDEX(Брони!$F$2:$F$500,MATCH(A265,Брони!$A$2:$A$500,0))="Возвращена",TODAY()-INT(INDEX(Брони!$E$2:$E$500,MATCH(A265,Брони!$A$2:$A$500,0))),""),""),""))</f>
        <v/>
      </c>
      <c r="O265" s="19">
        <f>IF(OR(N265="",Настройки!$B$8=""),"",IF(N265&gt;Настройки!$B$8,1,""))</f>
        <v/>
      </c>
    </row>
    <row r="266">
      <c r="A266" s="9" t="n"/>
      <c r="B266" s="12">
        <f>IF(A266="","",IFERROR(INDEX(Брони!$C$2:$C$500,MATCH(A266,Брони!$A$2:$A$500,0)),""))</f>
        <v/>
      </c>
      <c r="C266" s="12">
        <f>IF(A266="","",IFERROR(INDEX(Брони!$B$2:$B$500,MATCH(A266,Брони!$A$2:$A$500,0)),""))</f>
        <v/>
      </c>
      <c r="D266" s="14" t="n"/>
      <c r="E266" s="10" t="n"/>
      <c r="F266" s="18" t="n"/>
      <c r="G266" s="18" t="n"/>
      <c r="H266" s="14" t="n"/>
      <c r="I266" s="14" t="n"/>
      <c r="J266" s="10" t="n"/>
      <c r="K266" s="15">
        <f>IF(OR(A266="",D266=""),"",D266-H266-I266)</f>
        <v/>
      </c>
      <c r="L266" s="12">
        <f>IF(K266="","",IF(K266&gt;0,"На руках",IF(I266&gt;0,IF(H266&gt;0,"Удержан частично","Удержан"),"Возвращён")))</f>
        <v/>
      </c>
      <c r="M266" s="10" t="n"/>
      <c r="N266" s="19">
        <f>IF(K266="","",IF(K266&gt;0,IFERROR(IF(INDEX(Брони!$F$2:$F$500,MATCH(A266,Брони!$A$2:$A$500,0))="Возвращена",TODAY()-INT(INDEX(Брони!$E$2:$E$500,MATCH(A266,Брони!$A$2:$A$500,0))),""),""),""))</f>
        <v/>
      </c>
      <c r="O266" s="19">
        <f>IF(OR(N266="",Настройки!$B$8=""),"",IF(N266&gt;Настройки!$B$8,1,""))</f>
        <v/>
      </c>
    </row>
    <row r="267">
      <c r="A267" s="9" t="n"/>
      <c r="B267" s="12">
        <f>IF(A267="","",IFERROR(INDEX(Брони!$C$2:$C$500,MATCH(A267,Брони!$A$2:$A$500,0)),""))</f>
        <v/>
      </c>
      <c r="C267" s="12">
        <f>IF(A267="","",IFERROR(INDEX(Брони!$B$2:$B$500,MATCH(A267,Брони!$A$2:$A$500,0)),""))</f>
        <v/>
      </c>
      <c r="D267" s="14" t="n"/>
      <c r="E267" s="10" t="n"/>
      <c r="F267" s="18" t="n"/>
      <c r="G267" s="18" t="n"/>
      <c r="H267" s="14" t="n"/>
      <c r="I267" s="14" t="n"/>
      <c r="J267" s="10" t="n"/>
      <c r="K267" s="15">
        <f>IF(OR(A267="",D267=""),"",D267-H267-I267)</f>
        <v/>
      </c>
      <c r="L267" s="12">
        <f>IF(K267="","",IF(K267&gt;0,"На руках",IF(I267&gt;0,IF(H267&gt;0,"Удержан частично","Удержан"),"Возвращён")))</f>
        <v/>
      </c>
      <c r="M267" s="10" t="n"/>
      <c r="N267" s="19">
        <f>IF(K267="","",IF(K267&gt;0,IFERROR(IF(INDEX(Брони!$F$2:$F$500,MATCH(A267,Брони!$A$2:$A$500,0))="Возвращена",TODAY()-INT(INDEX(Брони!$E$2:$E$500,MATCH(A267,Брони!$A$2:$A$500,0))),""),""),""))</f>
        <v/>
      </c>
      <c r="O267" s="19">
        <f>IF(OR(N267="",Настройки!$B$8=""),"",IF(N267&gt;Настройки!$B$8,1,""))</f>
        <v/>
      </c>
    </row>
    <row r="268">
      <c r="A268" s="9" t="n"/>
      <c r="B268" s="12">
        <f>IF(A268="","",IFERROR(INDEX(Брони!$C$2:$C$500,MATCH(A268,Брони!$A$2:$A$500,0)),""))</f>
        <v/>
      </c>
      <c r="C268" s="12">
        <f>IF(A268="","",IFERROR(INDEX(Брони!$B$2:$B$500,MATCH(A268,Брони!$A$2:$A$500,0)),""))</f>
        <v/>
      </c>
      <c r="D268" s="14" t="n"/>
      <c r="E268" s="10" t="n"/>
      <c r="F268" s="18" t="n"/>
      <c r="G268" s="18" t="n"/>
      <c r="H268" s="14" t="n"/>
      <c r="I268" s="14" t="n"/>
      <c r="J268" s="10" t="n"/>
      <c r="K268" s="15">
        <f>IF(OR(A268="",D268=""),"",D268-H268-I268)</f>
        <v/>
      </c>
      <c r="L268" s="12">
        <f>IF(K268="","",IF(K268&gt;0,"На руках",IF(I268&gt;0,IF(H268&gt;0,"Удержан частично","Удержан"),"Возвращён")))</f>
        <v/>
      </c>
      <c r="M268" s="10" t="n"/>
      <c r="N268" s="19">
        <f>IF(K268="","",IF(K268&gt;0,IFERROR(IF(INDEX(Брони!$F$2:$F$500,MATCH(A268,Брони!$A$2:$A$500,0))="Возвращена",TODAY()-INT(INDEX(Брони!$E$2:$E$500,MATCH(A268,Брони!$A$2:$A$500,0))),""),""),""))</f>
        <v/>
      </c>
      <c r="O268" s="19">
        <f>IF(OR(N268="",Настройки!$B$8=""),"",IF(N268&gt;Настройки!$B$8,1,""))</f>
        <v/>
      </c>
    </row>
    <row r="269">
      <c r="A269" s="9" t="n"/>
      <c r="B269" s="12">
        <f>IF(A269="","",IFERROR(INDEX(Брони!$C$2:$C$500,MATCH(A269,Брони!$A$2:$A$500,0)),""))</f>
        <v/>
      </c>
      <c r="C269" s="12">
        <f>IF(A269="","",IFERROR(INDEX(Брони!$B$2:$B$500,MATCH(A269,Брони!$A$2:$A$500,0)),""))</f>
        <v/>
      </c>
      <c r="D269" s="14" t="n"/>
      <c r="E269" s="10" t="n"/>
      <c r="F269" s="18" t="n"/>
      <c r="G269" s="18" t="n"/>
      <c r="H269" s="14" t="n"/>
      <c r="I269" s="14" t="n"/>
      <c r="J269" s="10" t="n"/>
      <c r="K269" s="15">
        <f>IF(OR(A269="",D269=""),"",D269-H269-I269)</f>
        <v/>
      </c>
      <c r="L269" s="12">
        <f>IF(K269="","",IF(K269&gt;0,"На руках",IF(I269&gt;0,IF(H269&gt;0,"Удержан частично","Удержан"),"Возвращён")))</f>
        <v/>
      </c>
      <c r="M269" s="10" t="n"/>
      <c r="N269" s="19">
        <f>IF(K269="","",IF(K269&gt;0,IFERROR(IF(INDEX(Брони!$F$2:$F$500,MATCH(A269,Брони!$A$2:$A$500,0))="Возвращена",TODAY()-INT(INDEX(Брони!$E$2:$E$500,MATCH(A269,Брони!$A$2:$A$500,0))),""),""),""))</f>
        <v/>
      </c>
      <c r="O269" s="19">
        <f>IF(OR(N269="",Настройки!$B$8=""),"",IF(N269&gt;Настройки!$B$8,1,""))</f>
        <v/>
      </c>
    </row>
    <row r="270">
      <c r="A270" s="9" t="n"/>
      <c r="B270" s="12">
        <f>IF(A270="","",IFERROR(INDEX(Брони!$C$2:$C$500,MATCH(A270,Брони!$A$2:$A$500,0)),""))</f>
        <v/>
      </c>
      <c r="C270" s="12">
        <f>IF(A270="","",IFERROR(INDEX(Брони!$B$2:$B$500,MATCH(A270,Брони!$A$2:$A$500,0)),""))</f>
        <v/>
      </c>
      <c r="D270" s="14" t="n"/>
      <c r="E270" s="10" t="n"/>
      <c r="F270" s="18" t="n"/>
      <c r="G270" s="18" t="n"/>
      <c r="H270" s="14" t="n"/>
      <c r="I270" s="14" t="n"/>
      <c r="J270" s="10" t="n"/>
      <c r="K270" s="15">
        <f>IF(OR(A270="",D270=""),"",D270-H270-I270)</f>
        <v/>
      </c>
      <c r="L270" s="12">
        <f>IF(K270="","",IF(K270&gt;0,"На руках",IF(I270&gt;0,IF(H270&gt;0,"Удержан частично","Удержан"),"Возвращён")))</f>
        <v/>
      </c>
      <c r="M270" s="10" t="n"/>
      <c r="N270" s="19">
        <f>IF(K270="","",IF(K270&gt;0,IFERROR(IF(INDEX(Брони!$F$2:$F$500,MATCH(A270,Брони!$A$2:$A$500,0))="Возвращена",TODAY()-INT(INDEX(Брони!$E$2:$E$500,MATCH(A270,Брони!$A$2:$A$500,0))),""),""),""))</f>
        <v/>
      </c>
      <c r="O270" s="19">
        <f>IF(OR(N270="",Настройки!$B$8=""),"",IF(N270&gt;Настройки!$B$8,1,""))</f>
        <v/>
      </c>
    </row>
    <row r="271">
      <c r="A271" s="9" t="n"/>
      <c r="B271" s="12">
        <f>IF(A271="","",IFERROR(INDEX(Брони!$C$2:$C$500,MATCH(A271,Брони!$A$2:$A$500,0)),""))</f>
        <v/>
      </c>
      <c r="C271" s="12">
        <f>IF(A271="","",IFERROR(INDEX(Брони!$B$2:$B$500,MATCH(A271,Брони!$A$2:$A$500,0)),""))</f>
        <v/>
      </c>
      <c r="D271" s="14" t="n"/>
      <c r="E271" s="10" t="n"/>
      <c r="F271" s="18" t="n"/>
      <c r="G271" s="18" t="n"/>
      <c r="H271" s="14" t="n"/>
      <c r="I271" s="14" t="n"/>
      <c r="J271" s="10" t="n"/>
      <c r="K271" s="15">
        <f>IF(OR(A271="",D271=""),"",D271-H271-I271)</f>
        <v/>
      </c>
      <c r="L271" s="12">
        <f>IF(K271="","",IF(K271&gt;0,"На руках",IF(I271&gt;0,IF(H271&gt;0,"Удержан частично","Удержан"),"Возвращён")))</f>
        <v/>
      </c>
      <c r="M271" s="10" t="n"/>
      <c r="N271" s="19">
        <f>IF(K271="","",IF(K271&gt;0,IFERROR(IF(INDEX(Брони!$F$2:$F$500,MATCH(A271,Брони!$A$2:$A$500,0))="Возвращена",TODAY()-INT(INDEX(Брони!$E$2:$E$500,MATCH(A271,Брони!$A$2:$A$500,0))),""),""),""))</f>
        <v/>
      </c>
      <c r="O271" s="19">
        <f>IF(OR(N271="",Настройки!$B$8=""),"",IF(N271&gt;Настройки!$B$8,1,""))</f>
        <v/>
      </c>
    </row>
    <row r="272">
      <c r="A272" s="9" t="n"/>
      <c r="B272" s="12">
        <f>IF(A272="","",IFERROR(INDEX(Брони!$C$2:$C$500,MATCH(A272,Брони!$A$2:$A$500,0)),""))</f>
        <v/>
      </c>
      <c r="C272" s="12">
        <f>IF(A272="","",IFERROR(INDEX(Брони!$B$2:$B$500,MATCH(A272,Брони!$A$2:$A$500,0)),""))</f>
        <v/>
      </c>
      <c r="D272" s="14" t="n"/>
      <c r="E272" s="10" t="n"/>
      <c r="F272" s="18" t="n"/>
      <c r="G272" s="18" t="n"/>
      <c r="H272" s="14" t="n"/>
      <c r="I272" s="14" t="n"/>
      <c r="J272" s="10" t="n"/>
      <c r="K272" s="15">
        <f>IF(OR(A272="",D272=""),"",D272-H272-I272)</f>
        <v/>
      </c>
      <c r="L272" s="12">
        <f>IF(K272="","",IF(K272&gt;0,"На руках",IF(I272&gt;0,IF(H272&gt;0,"Удержан частично","Удержан"),"Возвращён")))</f>
        <v/>
      </c>
      <c r="M272" s="10" t="n"/>
      <c r="N272" s="19">
        <f>IF(K272="","",IF(K272&gt;0,IFERROR(IF(INDEX(Брони!$F$2:$F$500,MATCH(A272,Брони!$A$2:$A$500,0))="Возвращена",TODAY()-INT(INDEX(Брони!$E$2:$E$500,MATCH(A272,Брони!$A$2:$A$500,0))),""),""),""))</f>
        <v/>
      </c>
      <c r="O272" s="19">
        <f>IF(OR(N272="",Настройки!$B$8=""),"",IF(N272&gt;Настройки!$B$8,1,""))</f>
        <v/>
      </c>
    </row>
    <row r="273">
      <c r="A273" s="9" t="n"/>
      <c r="B273" s="12">
        <f>IF(A273="","",IFERROR(INDEX(Брони!$C$2:$C$500,MATCH(A273,Брони!$A$2:$A$500,0)),""))</f>
        <v/>
      </c>
      <c r="C273" s="12">
        <f>IF(A273="","",IFERROR(INDEX(Брони!$B$2:$B$500,MATCH(A273,Брони!$A$2:$A$500,0)),""))</f>
        <v/>
      </c>
      <c r="D273" s="14" t="n"/>
      <c r="E273" s="10" t="n"/>
      <c r="F273" s="18" t="n"/>
      <c r="G273" s="18" t="n"/>
      <c r="H273" s="14" t="n"/>
      <c r="I273" s="14" t="n"/>
      <c r="J273" s="10" t="n"/>
      <c r="K273" s="15">
        <f>IF(OR(A273="",D273=""),"",D273-H273-I273)</f>
        <v/>
      </c>
      <c r="L273" s="12">
        <f>IF(K273="","",IF(K273&gt;0,"На руках",IF(I273&gt;0,IF(H273&gt;0,"Удержан частично","Удержан"),"Возвращён")))</f>
        <v/>
      </c>
      <c r="M273" s="10" t="n"/>
      <c r="N273" s="19">
        <f>IF(K273="","",IF(K273&gt;0,IFERROR(IF(INDEX(Брони!$F$2:$F$500,MATCH(A273,Брони!$A$2:$A$500,0))="Возвращена",TODAY()-INT(INDEX(Брони!$E$2:$E$500,MATCH(A273,Брони!$A$2:$A$500,0))),""),""),""))</f>
        <v/>
      </c>
      <c r="O273" s="19">
        <f>IF(OR(N273="",Настройки!$B$8=""),"",IF(N273&gt;Настройки!$B$8,1,""))</f>
        <v/>
      </c>
    </row>
    <row r="274">
      <c r="A274" s="9" t="n"/>
      <c r="B274" s="12">
        <f>IF(A274="","",IFERROR(INDEX(Брони!$C$2:$C$500,MATCH(A274,Брони!$A$2:$A$500,0)),""))</f>
        <v/>
      </c>
      <c r="C274" s="12">
        <f>IF(A274="","",IFERROR(INDEX(Брони!$B$2:$B$500,MATCH(A274,Брони!$A$2:$A$500,0)),""))</f>
        <v/>
      </c>
      <c r="D274" s="14" t="n"/>
      <c r="E274" s="10" t="n"/>
      <c r="F274" s="18" t="n"/>
      <c r="G274" s="18" t="n"/>
      <c r="H274" s="14" t="n"/>
      <c r="I274" s="14" t="n"/>
      <c r="J274" s="10" t="n"/>
      <c r="K274" s="15">
        <f>IF(OR(A274="",D274=""),"",D274-H274-I274)</f>
        <v/>
      </c>
      <c r="L274" s="12">
        <f>IF(K274="","",IF(K274&gt;0,"На руках",IF(I274&gt;0,IF(H274&gt;0,"Удержан частично","Удержан"),"Возвращён")))</f>
        <v/>
      </c>
      <c r="M274" s="10" t="n"/>
      <c r="N274" s="19">
        <f>IF(K274="","",IF(K274&gt;0,IFERROR(IF(INDEX(Брони!$F$2:$F$500,MATCH(A274,Брони!$A$2:$A$500,0))="Возвращена",TODAY()-INT(INDEX(Брони!$E$2:$E$500,MATCH(A274,Брони!$A$2:$A$500,0))),""),""),""))</f>
        <v/>
      </c>
      <c r="O274" s="19">
        <f>IF(OR(N274="",Настройки!$B$8=""),"",IF(N274&gt;Настройки!$B$8,1,""))</f>
        <v/>
      </c>
    </row>
    <row r="275">
      <c r="A275" s="9" t="n"/>
      <c r="B275" s="12">
        <f>IF(A275="","",IFERROR(INDEX(Брони!$C$2:$C$500,MATCH(A275,Брони!$A$2:$A$500,0)),""))</f>
        <v/>
      </c>
      <c r="C275" s="12">
        <f>IF(A275="","",IFERROR(INDEX(Брони!$B$2:$B$500,MATCH(A275,Брони!$A$2:$A$500,0)),""))</f>
        <v/>
      </c>
      <c r="D275" s="14" t="n"/>
      <c r="E275" s="10" t="n"/>
      <c r="F275" s="18" t="n"/>
      <c r="G275" s="18" t="n"/>
      <c r="H275" s="14" t="n"/>
      <c r="I275" s="14" t="n"/>
      <c r="J275" s="10" t="n"/>
      <c r="K275" s="15">
        <f>IF(OR(A275="",D275=""),"",D275-H275-I275)</f>
        <v/>
      </c>
      <c r="L275" s="12">
        <f>IF(K275="","",IF(K275&gt;0,"На руках",IF(I275&gt;0,IF(H275&gt;0,"Удержан частично","Удержан"),"Возвращён")))</f>
        <v/>
      </c>
      <c r="M275" s="10" t="n"/>
      <c r="N275" s="19">
        <f>IF(K275="","",IF(K275&gt;0,IFERROR(IF(INDEX(Брони!$F$2:$F$500,MATCH(A275,Брони!$A$2:$A$500,0))="Возвращена",TODAY()-INT(INDEX(Брони!$E$2:$E$500,MATCH(A275,Брони!$A$2:$A$500,0))),""),""),""))</f>
        <v/>
      </c>
      <c r="O275" s="19">
        <f>IF(OR(N275="",Настройки!$B$8=""),"",IF(N275&gt;Настройки!$B$8,1,""))</f>
        <v/>
      </c>
    </row>
    <row r="276">
      <c r="A276" s="9" t="n"/>
      <c r="B276" s="12">
        <f>IF(A276="","",IFERROR(INDEX(Брони!$C$2:$C$500,MATCH(A276,Брони!$A$2:$A$500,0)),""))</f>
        <v/>
      </c>
      <c r="C276" s="12">
        <f>IF(A276="","",IFERROR(INDEX(Брони!$B$2:$B$500,MATCH(A276,Брони!$A$2:$A$500,0)),""))</f>
        <v/>
      </c>
      <c r="D276" s="14" t="n"/>
      <c r="E276" s="10" t="n"/>
      <c r="F276" s="18" t="n"/>
      <c r="G276" s="18" t="n"/>
      <c r="H276" s="14" t="n"/>
      <c r="I276" s="14" t="n"/>
      <c r="J276" s="10" t="n"/>
      <c r="K276" s="15">
        <f>IF(OR(A276="",D276=""),"",D276-H276-I276)</f>
        <v/>
      </c>
      <c r="L276" s="12">
        <f>IF(K276="","",IF(K276&gt;0,"На руках",IF(I276&gt;0,IF(H276&gt;0,"Удержан частично","Удержан"),"Возвращён")))</f>
        <v/>
      </c>
      <c r="M276" s="10" t="n"/>
      <c r="N276" s="19">
        <f>IF(K276="","",IF(K276&gt;0,IFERROR(IF(INDEX(Брони!$F$2:$F$500,MATCH(A276,Брони!$A$2:$A$500,0))="Возвращена",TODAY()-INT(INDEX(Брони!$E$2:$E$500,MATCH(A276,Брони!$A$2:$A$500,0))),""),""),""))</f>
        <v/>
      </c>
      <c r="O276" s="19">
        <f>IF(OR(N276="",Настройки!$B$8=""),"",IF(N276&gt;Настройки!$B$8,1,""))</f>
        <v/>
      </c>
    </row>
    <row r="277">
      <c r="A277" s="9" t="n"/>
      <c r="B277" s="12">
        <f>IF(A277="","",IFERROR(INDEX(Брони!$C$2:$C$500,MATCH(A277,Брони!$A$2:$A$500,0)),""))</f>
        <v/>
      </c>
      <c r="C277" s="12">
        <f>IF(A277="","",IFERROR(INDEX(Брони!$B$2:$B$500,MATCH(A277,Брони!$A$2:$A$500,0)),""))</f>
        <v/>
      </c>
      <c r="D277" s="14" t="n"/>
      <c r="E277" s="10" t="n"/>
      <c r="F277" s="18" t="n"/>
      <c r="G277" s="18" t="n"/>
      <c r="H277" s="14" t="n"/>
      <c r="I277" s="14" t="n"/>
      <c r="J277" s="10" t="n"/>
      <c r="K277" s="15">
        <f>IF(OR(A277="",D277=""),"",D277-H277-I277)</f>
        <v/>
      </c>
      <c r="L277" s="12">
        <f>IF(K277="","",IF(K277&gt;0,"На руках",IF(I277&gt;0,IF(H277&gt;0,"Удержан частично","Удержан"),"Возвращён")))</f>
        <v/>
      </c>
      <c r="M277" s="10" t="n"/>
      <c r="N277" s="19">
        <f>IF(K277="","",IF(K277&gt;0,IFERROR(IF(INDEX(Брони!$F$2:$F$500,MATCH(A277,Брони!$A$2:$A$500,0))="Возвращена",TODAY()-INT(INDEX(Брони!$E$2:$E$500,MATCH(A277,Брони!$A$2:$A$500,0))),""),""),""))</f>
        <v/>
      </c>
      <c r="O277" s="19">
        <f>IF(OR(N277="",Настройки!$B$8=""),"",IF(N277&gt;Настройки!$B$8,1,""))</f>
        <v/>
      </c>
    </row>
    <row r="278">
      <c r="A278" s="9" t="n"/>
      <c r="B278" s="12">
        <f>IF(A278="","",IFERROR(INDEX(Брони!$C$2:$C$500,MATCH(A278,Брони!$A$2:$A$500,0)),""))</f>
        <v/>
      </c>
      <c r="C278" s="12">
        <f>IF(A278="","",IFERROR(INDEX(Брони!$B$2:$B$500,MATCH(A278,Брони!$A$2:$A$500,0)),""))</f>
        <v/>
      </c>
      <c r="D278" s="14" t="n"/>
      <c r="E278" s="10" t="n"/>
      <c r="F278" s="18" t="n"/>
      <c r="G278" s="18" t="n"/>
      <c r="H278" s="14" t="n"/>
      <c r="I278" s="14" t="n"/>
      <c r="J278" s="10" t="n"/>
      <c r="K278" s="15">
        <f>IF(OR(A278="",D278=""),"",D278-H278-I278)</f>
        <v/>
      </c>
      <c r="L278" s="12">
        <f>IF(K278="","",IF(K278&gt;0,"На руках",IF(I278&gt;0,IF(H278&gt;0,"Удержан частично","Удержан"),"Возвращён")))</f>
        <v/>
      </c>
      <c r="M278" s="10" t="n"/>
      <c r="N278" s="19">
        <f>IF(K278="","",IF(K278&gt;0,IFERROR(IF(INDEX(Брони!$F$2:$F$500,MATCH(A278,Брони!$A$2:$A$500,0))="Возвращена",TODAY()-INT(INDEX(Брони!$E$2:$E$500,MATCH(A278,Брони!$A$2:$A$500,0))),""),""),""))</f>
        <v/>
      </c>
      <c r="O278" s="19">
        <f>IF(OR(N278="",Настройки!$B$8=""),"",IF(N278&gt;Настройки!$B$8,1,""))</f>
        <v/>
      </c>
    </row>
    <row r="279">
      <c r="A279" s="9" t="n"/>
      <c r="B279" s="12">
        <f>IF(A279="","",IFERROR(INDEX(Брони!$C$2:$C$500,MATCH(A279,Брони!$A$2:$A$500,0)),""))</f>
        <v/>
      </c>
      <c r="C279" s="12">
        <f>IF(A279="","",IFERROR(INDEX(Брони!$B$2:$B$500,MATCH(A279,Брони!$A$2:$A$500,0)),""))</f>
        <v/>
      </c>
      <c r="D279" s="14" t="n"/>
      <c r="E279" s="10" t="n"/>
      <c r="F279" s="18" t="n"/>
      <c r="G279" s="18" t="n"/>
      <c r="H279" s="14" t="n"/>
      <c r="I279" s="14" t="n"/>
      <c r="J279" s="10" t="n"/>
      <c r="K279" s="15">
        <f>IF(OR(A279="",D279=""),"",D279-H279-I279)</f>
        <v/>
      </c>
      <c r="L279" s="12">
        <f>IF(K279="","",IF(K279&gt;0,"На руках",IF(I279&gt;0,IF(H279&gt;0,"Удержан частично","Удержан"),"Возвращён")))</f>
        <v/>
      </c>
      <c r="M279" s="10" t="n"/>
      <c r="N279" s="19">
        <f>IF(K279="","",IF(K279&gt;0,IFERROR(IF(INDEX(Брони!$F$2:$F$500,MATCH(A279,Брони!$A$2:$A$500,0))="Возвращена",TODAY()-INT(INDEX(Брони!$E$2:$E$500,MATCH(A279,Брони!$A$2:$A$500,0))),""),""),""))</f>
        <v/>
      </c>
      <c r="O279" s="19">
        <f>IF(OR(N279="",Настройки!$B$8=""),"",IF(N279&gt;Настройки!$B$8,1,""))</f>
        <v/>
      </c>
    </row>
    <row r="280">
      <c r="A280" s="9" t="n"/>
      <c r="B280" s="12">
        <f>IF(A280="","",IFERROR(INDEX(Брони!$C$2:$C$500,MATCH(A280,Брони!$A$2:$A$500,0)),""))</f>
        <v/>
      </c>
      <c r="C280" s="12">
        <f>IF(A280="","",IFERROR(INDEX(Брони!$B$2:$B$500,MATCH(A280,Брони!$A$2:$A$500,0)),""))</f>
        <v/>
      </c>
      <c r="D280" s="14" t="n"/>
      <c r="E280" s="10" t="n"/>
      <c r="F280" s="18" t="n"/>
      <c r="G280" s="18" t="n"/>
      <c r="H280" s="14" t="n"/>
      <c r="I280" s="14" t="n"/>
      <c r="J280" s="10" t="n"/>
      <c r="K280" s="15">
        <f>IF(OR(A280="",D280=""),"",D280-H280-I280)</f>
        <v/>
      </c>
      <c r="L280" s="12">
        <f>IF(K280="","",IF(K280&gt;0,"На руках",IF(I280&gt;0,IF(H280&gt;0,"Удержан частично","Удержан"),"Возвращён")))</f>
        <v/>
      </c>
      <c r="M280" s="10" t="n"/>
      <c r="N280" s="19">
        <f>IF(K280="","",IF(K280&gt;0,IFERROR(IF(INDEX(Брони!$F$2:$F$500,MATCH(A280,Брони!$A$2:$A$500,0))="Возвращена",TODAY()-INT(INDEX(Брони!$E$2:$E$500,MATCH(A280,Брони!$A$2:$A$500,0))),""),""),""))</f>
        <v/>
      </c>
      <c r="O280" s="19">
        <f>IF(OR(N280="",Настройки!$B$8=""),"",IF(N280&gt;Настройки!$B$8,1,""))</f>
        <v/>
      </c>
    </row>
    <row r="281">
      <c r="A281" s="9" t="n"/>
      <c r="B281" s="12">
        <f>IF(A281="","",IFERROR(INDEX(Брони!$C$2:$C$500,MATCH(A281,Брони!$A$2:$A$500,0)),""))</f>
        <v/>
      </c>
      <c r="C281" s="12">
        <f>IF(A281="","",IFERROR(INDEX(Брони!$B$2:$B$500,MATCH(A281,Брони!$A$2:$A$500,0)),""))</f>
        <v/>
      </c>
      <c r="D281" s="14" t="n"/>
      <c r="E281" s="10" t="n"/>
      <c r="F281" s="18" t="n"/>
      <c r="G281" s="18" t="n"/>
      <c r="H281" s="14" t="n"/>
      <c r="I281" s="14" t="n"/>
      <c r="J281" s="10" t="n"/>
      <c r="K281" s="15">
        <f>IF(OR(A281="",D281=""),"",D281-H281-I281)</f>
        <v/>
      </c>
      <c r="L281" s="12">
        <f>IF(K281="","",IF(K281&gt;0,"На руках",IF(I281&gt;0,IF(H281&gt;0,"Удержан частично","Удержан"),"Возвращён")))</f>
        <v/>
      </c>
      <c r="M281" s="10" t="n"/>
      <c r="N281" s="19">
        <f>IF(K281="","",IF(K281&gt;0,IFERROR(IF(INDEX(Брони!$F$2:$F$500,MATCH(A281,Брони!$A$2:$A$500,0))="Возвращена",TODAY()-INT(INDEX(Брони!$E$2:$E$500,MATCH(A281,Брони!$A$2:$A$500,0))),""),""),""))</f>
        <v/>
      </c>
      <c r="O281" s="19">
        <f>IF(OR(N281="",Настройки!$B$8=""),"",IF(N281&gt;Настройки!$B$8,1,""))</f>
        <v/>
      </c>
    </row>
    <row r="282">
      <c r="A282" s="9" t="n"/>
      <c r="B282" s="12">
        <f>IF(A282="","",IFERROR(INDEX(Брони!$C$2:$C$500,MATCH(A282,Брони!$A$2:$A$500,0)),""))</f>
        <v/>
      </c>
      <c r="C282" s="12">
        <f>IF(A282="","",IFERROR(INDEX(Брони!$B$2:$B$500,MATCH(A282,Брони!$A$2:$A$500,0)),""))</f>
        <v/>
      </c>
      <c r="D282" s="14" t="n"/>
      <c r="E282" s="10" t="n"/>
      <c r="F282" s="18" t="n"/>
      <c r="G282" s="18" t="n"/>
      <c r="H282" s="14" t="n"/>
      <c r="I282" s="14" t="n"/>
      <c r="J282" s="10" t="n"/>
      <c r="K282" s="15">
        <f>IF(OR(A282="",D282=""),"",D282-H282-I282)</f>
        <v/>
      </c>
      <c r="L282" s="12">
        <f>IF(K282="","",IF(K282&gt;0,"На руках",IF(I282&gt;0,IF(H282&gt;0,"Удержан частично","Удержан"),"Возвращён")))</f>
        <v/>
      </c>
      <c r="M282" s="10" t="n"/>
      <c r="N282" s="19">
        <f>IF(K282="","",IF(K282&gt;0,IFERROR(IF(INDEX(Брони!$F$2:$F$500,MATCH(A282,Брони!$A$2:$A$500,0))="Возвращена",TODAY()-INT(INDEX(Брони!$E$2:$E$500,MATCH(A282,Брони!$A$2:$A$500,0))),""),""),""))</f>
        <v/>
      </c>
      <c r="O282" s="19">
        <f>IF(OR(N282="",Настройки!$B$8=""),"",IF(N282&gt;Настройки!$B$8,1,""))</f>
        <v/>
      </c>
    </row>
    <row r="283">
      <c r="A283" s="9" t="n"/>
      <c r="B283" s="12">
        <f>IF(A283="","",IFERROR(INDEX(Брони!$C$2:$C$500,MATCH(A283,Брони!$A$2:$A$500,0)),""))</f>
        <v/>
      </c>
      <c r="C283" s="12">
        <f>IF(A283="","",IFERROR(INDEX(Брони!$B$2:$B$500,MATCH(A283,Брони!$A$2:$A$500,0)),""))</f>
        <v/>
      </c>
      <c r="D283" s="14" t="n"/>
      <c r="E283" s="10" t="n"/>
      <c r="F283" s="18" t="n"/>
      <c r="G283" s="18" t="n"/>
      <c r="H283" s="14" t="n"/>
      <c r="I283" s="14" t="n"/>
      <c r="J283" s="10" t="n"/>
      <c r="K283" s="15">
        <f>IF(OR(A283="",D283=""),"",D283-H283-I283)</f>
        <v/>
      </c>
      <c r="L283" s="12">
        <f>IF(K283="","",IF(K283&gt;0,"На руках",IF(I283&gt;0,IF(H283&gt;0,"Удержан частично","Удержан"),"Возвращён")))</f>
        <v/>
      </c>
      <c r="M283" s="10" t="n"/>
      <c r="N283" s="19">
        <f>IF(K283="","",IF(K283&gt;0,IFERROR(IF(INDEX(Брони!$F$2:$F$500,MATCH(A283,Брони!$A$2:$A$500,0))="Возвращена",TODAY()-INT(INDEX(Брони!$E$2:$E$500,MATCH(A283,Брони!$A$2:$A$500,0))),""),""),""))</f>
        <v/>
      </c>
      <c r="O283" s="19">
        <f>IF(OR(N283="",Настройки!$B$8=""),"",IF(N283&gt;Настройки!$B$8,1,""))</f>
        <v/>
      </c>
    </row>
    <row r="284">
      <c r="A284" s="9" t="n"/>
      <c r="B284" s="12">
        <f>IF(A284="","",IFERROR(INDEX(Брони!$C$2:$C$500,MATCH(A284,Брони!$A$2:$A$500,0)),""))</f>
        <v/>
      </c>
      <c r="C284" s="12">
        <f>IF(A284="","",IFERROR(INDEX(Брони!$B$2:$B$500,MATCH(A284,Брони!$A$2:$A$500,0)),""))</f>
        <v/>
      </c>
      <c r="D284" s="14" t="n"/>
      <c r="E284" s="10" t="n"/>
      <c r="F284" s="18" t="n"/>
      <c r="G284" s="18" t="n"/>
      <c r="H284" s="14" t="n"/>
      <c r="I284" s="14" t="n"/>
      <c r="J284" s="10" t="n"/>
      <c r="K284" s="15">
        <f>IF(OR(A284="",D284=""),"",D284-H284-I284)</f>
        <v/>
      </c>
      <c r="L284" s="12">
        <f>IF(K284="","",IF(K284&gt;0,"На руках",IF(I284&gt;0,IF(H284&gt;0,"Удержан частично","Удержан"),"Возвращён")))</f>
        <v/>
      </c>
      <c r="M284" s="10" t="n"/>
      <c r="N284" s="19">
        <f>IF(K284="","",IF(K284&gt;0,IFERROR(IF(INDEX(Брони!$F$2:$F$500,MATCH(A284,Брони!$A$2:$A$500,0))="Возвращена",TODAY()-INT(INDEX(Брони!$E$2:$E$500,MATCH(A284,Брони!$A$2:$A$500,0))),""),""),""))</f>
        <v/>
      </c>
      <c r="O284" s="19">
        <f>IF(OR(N284="",Настройки!$B$8=""),"",IF(N284&gt;Настройки!$B$8,1,""))</f>
        <v/>
      </c>
    </row>
    <row r="285">
      <c r="A285" s="9" t="n"/>
      <c r="B285" s="12">
        <f>IF(A285="","",IFERROR(INDEX(Брони!$C$2:$C$500,MATCH(A285,Брони!$A$2:$A$500,0)),""))</f>
        <v/>
      </c>
      <c r="C285" s="12">
        <f>IF(A285="","",IFERROR(INDEX(Брони!$B$2:$B$500,MATCH(A285,Брони!$A$2:$A$500,0)),""))</f>
        <v/>
      </c>
      <c r="D285" s="14" t="n"/>
      <c r="E285" s="10" t="n"/>
      <c r="F285" s="18" t="n"/>
      <c r="G285" s="18" t="n"/>
      <c r="H285" s="14" t="n"/>
      <c r="I285" s="14" t="n"/>
      <c r="J285" s="10" t="n"/>
      <c r="K285" s="15">
        <f>IF(OR(A285="",D285=""),"",D285-H285-I285)</f>
        <v/>
      </c>
      <c r="L285" s="12">
        <f>IF(K285="","",IF(K285&gt;0,"На руках",IF(I285&gt;0,IF(H285&gt;0,"Удержан частично","Удержан"),"Возвращён")))</f>
        <v/>
      </c>
      <c r="M285" s="10" t="n"/>
      <c r="N285" s="19">
        <f>IF(K285="","",IF(K285&gt;0,IFERROR(IF(INDEX(Брони!$F$2:$F$500,MATCH(A285,Брони!$A$2:$A$500,0))="Возвращена",TODAY()-INT(INDEX(Брони!$E$2:$E$500,MATCH(A285,Брони!$A$2:$A$500,0))),""),""),""))</f>
        <v/>
      </c>
      <c r="O285" s="19">
        <f>IF(OR(N285="",Настройки!$B$8=""),"",IF(N285&gt;Настройки!$B$8,1,""))</f>
        <v/>
      </c>
    </row>
    <row r="286">
      <c r="A286" s="9" t="n"/>
      <c r="B286" s="12">
        <f>IF(A286="","",IFERROR(INDEX(Брони!$C$2:$C$500,MATCH(A286,Брони!$A$2:$A$500,0)),""))</f>
        <v/>
      </c>
      <c r="C286" s="12">
        <f>IF(A286="","",IFERROR(INDEX(Брони!$B$2:$B$500,MATCH(A286,Брони!$A$2:$A$500,0)),""))</f>
        <v/>
      </c>
      <c r="D286" s="14" t="n"/>
      <c r="E286" s="10" t="n"/>
      <c r="F286" s="18" t="n"/>
      <c r="G286" s="18" t="n"/>
      <c r="H286" s="14" t="n"/>
      <c r="I286" s="14" t="n"/>
      <c r="J286" s="10" t="n"/>
      <c r="K286" s="15">
        <f>IF(OR(A286="",D286=""),"",D286-H286-I286)</f>
        <v/>
      </c>
      <c r="L286" s="12">
        <f>IF(K286="","",IF(K286&gt;0,"На руках",IF(I286&gt;0,IF(H286&gt;0,"Удержан частично","Удержан"),"Возвращён")))</f>
        <v/>
      </c>
      <c r="M286" s="10" t="n"/>
      <c r="N286" s="19">
        <f>IF(K286="","",IF(K286&gt;0,IFERROR(IF(INDEX(Брони!$F$2:$F$500,MATCH(A286,Брони!$A$2:$A$500,0))="Возвращена",TODAY()-INT(INDEX(Брони!$E$2:$E$500,MATCH(A286,Брони!$A$2:$A$500,0))),""),""),""))</f>
        <v/>
      </c>
      <c r="O286" s="19">
        <f>IF(OR(N286="",Настройки!$B$8=""),"",IF(N286&gt;Настройки!$B$8,1,""))</f>
        <v/>
      </c>
    </row>
    <row r="287">
      <c r="A287" s="9" t="n"/>
      <c r="B287" s="12">
        <f>IF(A287="","",IFERROR(INDEX(Брони!$C$2:$C$500,MATCH(A287,Брони!$A$2:$A$500,0)),""))</f>
        <v/>
      </c>
      <c r="C287" s="12">
        <f>IF(A287="","",IFERROR(INDEX(Брони!$B$2:$B$500,MATCH(A287,Брони!$A$2:$A$500,0)),""))</f>
        <v/>
      </c>
      <c r="D287" s="14" t="n"/>
      <c r="E287" s="10" t="n"/>
      <c r="F287" s="18" t="n"/>
      <c r="G287" s="18" t="n"/>
      <c r="H287" s="14" t="n"/>
      <c r="I287" s="14" t="n"/>
      <c r="J287" s="10" t="n"/>
      <c r="K287" s="15">
        <f>IF(OR(A287="",D287=""),"",D287-H287-I287)</f>
        <v/>
      </c>
      <c r="L287" s="12">
        <f>IF(K287="","",IF(K287&gt;0,"На руках",IF(I287&gt;0,IF(H287&gt;0,"Удержан частично","Удержан"),"Возвращён")))</f>
        <v/>
      </c>
      <c r="M287" s="10" t="n"/>
      <c r="N287" s="19">
        <f>IF(K287="","",IF(K287&gt;0,IFERROR(IF(INDEX(Брони!$F$2:$F$500,MATCH(A287,Брони!$A$2:$A$500,0))="Возвращена",TODAY()-INT(INDEX(Брони!$E$2:$E$500,MATCH(A287,Брони!$A$2:$A$500,0))),""),""),""))</f>
        <v/>
      </c>
      <c r="O287" s="19">
        <f>IF(OR(N287="",Настройки!$B$8=""),"",IF(N287&gt;Настройки!$B$8,1,""))</f>
        <v/>
      </c>
    </row>
    <row r="288">
      <c r="A288" s="9" t="n"/>
      <c r="B288" s="12">
        <f>IF(A288="","",IFERROR(INDEX(Брони!$C$2:$C$500,MATCH(A288,Брони!$A$2:$A$500,0)),""))</f>
        <v/>
      </c>
      <c r="C288" s="12">
        <f>IF(A288="","",IFERROR(INDEX(Брони!$B$2:$B$500,MATCH(A288,Брони!$A$2:$A$500,0)),""))</f>
        <v/>
      </c>
      <c r="D288" s="14" t="n"/>
      <c r="E288" s="10" t="n"/>
      <c r="F288" s="18" t="n"/>
      <c r="G288" s="18" t="n"/>
      <c r="H288" s="14" t="n"/>
      <c r="I288" s="14" t="n"/>
      <c r="J288" s="10" t="n"/>
      <c r="K288" s="15">
        <f>IF(OR(A288="",D288=""),"",D288-H288-I288)</f>
        <v/>
      </c>
      <c r="L288" s="12">
        <f>IF(K288="","",IF(K288&gt;0,"На руках",IF(I288&gt;0,IF(H288&gt;0,"Удержан частично","Удержан"),"Возвращён")))</f>
        <v/>
      </c>
      <c r="M288" s="10" t="n"/>
      <c r="N288" s="19">
        <f>IF(K288="","",IF(K288&gt;0,IFERROR(IF(INDEX(Брони!$F$2:$F$500,MATCH(A288,Брони!$A$2:$A$500,0))="Возвращена",TODAY()-INT(INDEX(Брони!$E$2:$E$500,MATCH(A288,Брони!$A$2:$A$500,0))),""),""),""))</f>
        <v/>
      </c>
      <c r="O288" s="19">
        <f>IF(OR(N288="",Настройки!$B$8=""),"",IF(N288&gt;Настройки!$B$8,1,""))</f>
        <v/>
      </c>
    </row>
    <row r="289">
      <c r="A289" s="9" t="n"/>
      <c r="B289" s="12">
        <f>IF(A289="","",IFERROR(INDEX(Брони!$C$2:$C$500,MATCH(A289,Брони!$A$2:$A$500,0)),""))</f>
        <v/>
      </c>
      <c r="C289" s="12">
        <f>IF(A289="","",IFERROR(INDEX(Брони!$B$2:$B$500,MATCH(A289,Брони!$A$2:$A$500,0)),""))</f>
        <v/>
      </c>
      <c r="D289" s="14" t="n"/>
      <c r="E289" s="10" t="n"/>
      <c r="F289" s="18" t="n"/>
      <c r="G289" s="18" t="n"/>
      <c r="H289" s="14" t="n"/>
      <c r="I289" s="14" t="n"/>
      <c r="J289" s="10" t="n"/>
      <c r="K289" s="15">
        <f>IF(OR(A289="",D289=""),"",D289-H289-I289)</f>
        <v/>
      </c>
      <c r="L289" s="12">
        <f>IF(K289="","",IF(K289&gt;0,"На руках",IF(I289&gt;0,IF(H289&gt;0,"Удержан частично","Удержан"),"Возвращён")))</f>
        <v/>
      </c>
      <c r="M289" s="10" t="n"/>
      <c r="N289" s="19">
        <f>IF(K289="","",IF(K289&gt;0,IFERROR(IF(INDEX(Брони!$F$2:$F$500,MATCH(A289,Брони!$A$2:$A$500,0))="Возвращена",TODAY()-INT(INDEX(Брони!$E$2:$E$500,MATCH(A289,Брони!$A$2:$A$500,0))),""),""),""))</f>
        <v/>
      </c>
      <c r="O289" s="19">
        <f>IF(OR(N289="",Настройки!$B$8=""),"",IF(N289&gt;Настройки!$B$8,1,""))</f>
        <v/>
      </c>
    </row>
    <row r="290">
      <c r="A290" s="9" t="n"/>
      <c r="B290" s="12">
        <f>IF(A290="","",IFERROR(INDEX(Брони!$C$2:$C$500,MATCH(A290,Брони!$A$2:$A$500,0)),""))</f>
        <v/>
      </c>
      <c r="C290" s="12">
        <f>IF(A290="","",IFERROR(INDEX(Брони!$B$2:$B$500,MATCH(A290,Брони!$A$2:$A$500,0)),""))</f>
        <v/>
      </c>
      <c r="D290" s="14" t="n"/>
      <c r="E290" s="10" t="n"/>
      <c r="F290" s="18" t="n"/>
      <c r="G290" s="18" t="n"/>
      <c r="H290" s="14" t="n"/>
      <c r="I290" s="14" t="n"/>
      <c r="J290" s="10" t="n"/>
      <c r="K290" s="15">
        <f>IF(OR(A290="",D290=""),"",D290-H290-I290)</f>
        <v/>
      </c>
      <c r="L290" s="12">
        <f>IF(K290="","",IF(K290&gt;0,"На руках",IF(I290&gt;0,IF(H290&gt;0,"Удержан частично","Удержан"),"Возвращён")))</f>
        <v/>
      </c>
      <c r="M290" s="10" t="n"/>
      <c r="N290" s="19">
        <f>IF(K290="","",IF(K290&gt;0,IFERROR(IF(INDEX(Брони!$F$2:$F$500,MATCH(A290,Брони!$A$2:$A$500,0))="Возвращена",TODAY()-INT(INDEX(Брони!$E$2:$E$500,MATCH(A290,Брони!$A$2:$A$500,0))),""),""),""))</f>
        <v/>
      </c>
      <c r="O290" s="19">
        <f>IF(OR(N290="",Настройки!$B$8=""),"",IF(N290&gt;Настройки!$B$8,1,""))</f>
        <v/>
      </c>
    </row>
    <row r="291">
      <c r="A291" s="9" t="n"/>
      <c r="B291" s="12">
        <f>IF(A291="","",IFERROR(INDEX(Брони!$C$2:$C$500,MATCH(A291,Брони!$A$2:$A$500,0)),""))</f>
        <v/>
      </c>
      <c r="C291" s="12">
        <f>IF(A291="","",IFERROR(INDEX(Брони!$B$2:$B$500,MATCH(A291,Брони!$A$2:$A$500,0)),""))</f>
        <v/>
      </c>
      <c r="D291" s="14" t="n"/>
      <c r="E291" s="10" t="n"/>
      <c r="F291" s="18" t="n"/>
      <c r="G291" s="18" t="n"/>
      <c r="H291" s="14" t="n"/>
      <c r="I291" s="14" t="n"/>
      <c r="J291" s="10" t="n"/>
      <c r="K291" s="15">
        <f>IF(OR(A291="",D291=""),"",D291-H291-I291)</f>
        <v/>
      </c>
      <c r="L291" s="12">
        <f>IF(K291="","",IF(K291&gt;0,"На руках",IF(I291&gt;0,IF(H291&gt;0,"Удержан частично","Удержан"),"Возвращён")))</f>
        <v/>
      </c>
      <c r="M291" s="10" t="n"/>
      <c r="N291" s="19">
        <f>IF(K291="","",IF(K291&gt;0,IFERROR(IF(INDEX(Брони!$F$2:$F$500,MATCH(A291,Брони!$A$2:$A$500,0))="Возвращена",TODAY()-INT(INDEX(Брони!$E$2:$E$500,MATCH(A291,Брони!$A$2:$A$500,0))),""),""),""))</f>
        <v/>
      </c>
      <c r="O291" s="19">
        <f>IF(OR(N291="",Настройки!$B$8=""),"",IF(N291&gt;Настройки!$B$8,1,""))</f>
        <v/>
      </c>
    </row>
    <row r="292">
      <c r="A292" s="9" t="n"/>
      <c r="B292" s="12">
        <f>IF(A292="","",IFERROR(INDEX(Брони!$C$2:$C$500,MATCH(A292,Брони!$A$2:$A$500,0)),""))</f>
        <v/>
      </c>
      <c r="C292" s="12">
        <f>IF(A292="","",IFERROR(INDEX(Брони!$B$2:$B$500,MATCH(A292,Брони!$A$2:$A$500,0)),""))</f>
        <v/>
      </c>
      <c r="D292" s="14" t="n"/>
      <c r="E292" s="10" t="n"/>
      <c r="F292" s="18" t="n"/>
      <c r="G292" s="18" t="n"/>
      <c r="H292" s="14" t="n"/>
      <c r="I292" s="14" t="n"/>
      <c r="J292" s="10" t="n"/>
      <c r="K292" s="15">
        <f>IF(OR(A292="",D292=""),"",D292-H292-I292)</f>
        <v/>
      </c>
      <c r="L292" s="12">
        <f>IF(K292="","",IF(K292&gt;0,"На руках",IF(I292&gt;0,IF(H292&gt;0,"Удержан частично","Удержан"),"Возвращён")))</f>
        <v/>
      </c>
      <c r="M292" s="10" t="n"/>
      <c r="N292" s="19">
        <f>IF(K292="","",IF(K292&gt;0,IFERROR(IF(INDEX(Брони!$F$2:$F$500,MATCH(A292,Брони!$A$2:$A$500,0))="Возвращена",TODAY()-INT(INDEX(Брони!$E$2:$E$500,MATCH(A292,Брони!$A$2:$A$500,0))),""),""),""))</f>
        <v/>
      </c>
      <c r="O292" s="19">
        <f>IF(OR(N292="",Настройки!$B$8=""),"",IF(N292&gt;Настройки!$B$8,1,""))</f>
        <v/>
      </c>
    </row>
    <row r="293">
      <c r="A293" s="9" t="n"/>
      <c r="B293" s="12">
        <f>IF(A293="","",IFERROR(INDEX(Брони!$C$2:$C$500,MATCH(A293,Брони!$A$2:$A$500,0)),""))</f>
        <v/>
      </c>
      <c r="C293" s="12">
        <f>IF(A293="","",IFERROR(INDEX(Брони!$B$2:$B$500,MATCH(A293,Брони!$A$2:$A$500,0)),""))</f>
        <v/>
      </c>
      <c r="D293" s="14" t="n"/>
      <c r="E293" s="10" t="n"/>
      <c r="F293" s="18" t="n"/>
      <c r="G293" s="18" t="n"/>
      <c r="H293" s="14" t="n"/>
      <c r="I293" s="14" t="n"/>
      <c r="J293" s="10" t="n"/>
      <c r="K293" s="15">
        <f>IF(OR(A293="",D293=""),"",D293-H293-I293)</f>
        <v/>
      </c>
      <c r="L293" s="12">
        <f>IF(K293="","",IF(K293&gt;0,"На руках",IF(I293&gt;0,IF(H293&gt;0,"Удержан частично","Удержан"),"Возвращён")))</f>
        <v/>
      </c>
      <c r="M293" s="10" t="n"/>
      <c r="N293" s="19">
        <f>IF(K293="","",IF(K293&gt;0,IFERROR(IF(INDEX(Брони!$F$2:$F$500,MATCH(A293,Брони!$A$2:$A$500,0))="Возвращена",TODAY()-INT(INDEX(Брони!$E$2:$E$500,MATCH(A293,Брони!$A$2:$A$500,0))),""),""),""))</f>
        <v/>
      </c>
      <c r="O293" s="19">
        <f>IF(OR(N293="",Настройки!$B$8=""),"",IF(N293&gt;Настройки!$B$8,1,""))</f>
        <v/>
      </c>
    </row>
    <row r="294">
      <c r="A294" s="9" t="n"/>
      <c r="B294" s="12">
        <f>IF(A294="","",IFERROR(INDEX(Брони!$C$2:$C$500,MATCH(A294,Брони!$A$2:$A$500,0)),""))</f>
        <v/>
      </c>
      <c r="C294" s="12">
        <f>IF(A294="","",IFERROR(INDEX(Брони!$B$2:$B$500,MATCH(A294,Брони!$A$2:$A$500,0)),""))</f>
        <v/>
      </c>
      <c r="D294" s="14" t="n"/>
      <c r="E294" s="10" t="n"/>
      <c r="F294" s="18" t="n"/>
      <c r="G294" s="18" t="n"/>
      <c r="H294" s="14" t="n"/>
      <c r="I294" s="14" t="n"/>
      <c r="J294" s="10" t="n"/>
      <c r="K294" s="15">
        <f>IF(OR(A294="",D294=""),"",D294-H294-I294)</f>
        <v/>
      </c>
      <c r="L294" s="12">
        <f>IF(K294="","",IF(K294&gt;0,"На руках",IF(I294&gt;0,IF(H294&gt;0,"Удержан частично","Удержан"),"Возвращён")))</f>
        <v/>
      </c>
      <c r="M294" s="10" t="n"/>
      <c r="N294" s="19">
        <f>IF(K294="","",IF(K294&gt;0,IFERROR(IF(INDEX(Брони!$F$2:$F$500,MATCH(A294,Брони!$A$2:$A$500,0))="Возвращена",TODAY()-INT(INDEX(Брони!$E$2:$E$500,MATCH(A294,Брони!$A$2:$A$500,0))),""),""),""))</f>
        <v/>
      </c>
      <c r="O294" s="19">
        <f>IF(OR(N294="",Настройки!$B$8=""),"",IF(N294&gt;Настройки!$B$8,1,""))</f>
        <v/>
      </c>
    </row>
    <row r="295">
      <c r="A295" s="9" t="n"/>
      <c r="B295" s="12">
        <f>IF(A295="","",IFERROR(INDEX(Брони!$C$2:$C$500,MATCH(A295,Брони!$A$2:$A$500,0)),""))</f>
        <v/>
      </c>
      <c r="C295" s="12">
        <f>IF(A295="","",IFERROR(INDEX(Брони!$B$2:$B$500,MATCH(A295,Брони!$A$2:$A$500,0)),""))</f>
        <v/>
      </c>
      <c r="D295" s="14" t="n"/>
      <c r="E295" s="10" t="n"/>
      <c r="F295" s="18" t="n"/>
      <c r="G295" s="18" t="n"/>
      <c r="H295" s="14" t="n"/>
      <c r="I295" s="14" t="n"/>
      <c r="J295" s="10" t="n"/>
      <c r="K295" s="15">
        <f>IF(OR(A295="",D295=""),"",D295-H295-I295)</f>
        <v/>
      </c>
      <c r="L295" s="12">
        <f>IF(K295="","",IF(K295&gt;0,"На руках",IF(I295&gt;0,IF(H295&gt;0,"Удержан частично","Удержан"),"Возвращён")))</f>
        <v/>
      </c>
      <c r="M295" s="10" t="n"/>
      <c r="N295" s="19">
        <f>IF(K295="","",IF(K295&gt;0,IFERROR(IF(INDEX(Брони!$F$2:$F$500,MATCH(A295,Брони!$A$2:$A$500,0))="Возвращена",TODAY()-INT(INDEX(Брони!$E$2:$E$500,MATCH(A295,Брони!$A$2:$A$500,0))),""),""),""))</f>
        <v/>
      </c>
      <c r="O295" s="19">
        <f>IF(OR(N295="",Настройки!$B$8=""),"",IF(N295&gt;Настройки!$B$8,1,""))</f>
        <v/>
      </c>
    </row>
    <row r="296">
      <c r="A296" s="9" t="n"/>
      <c r="B296" s="12">
        <f>IF(A296="","",IFERROR(INDEX(Брони!$C$2:$C$500,MATCH(A296,Брони!$A$2:$A$500,0)),""))</f>
        <v/>
      </c>
      <c r="C296" s="12">
        <f>IF(A296="","",IFERROR(INDEX(Брони!$B$2:$B$500,MATCH(A296,Брони!$A$2:$A$500,0)),""))</f>
        <v/>
      </c>
      <c r="D296" s="14" t="n"/>
      <c r="E296" s="10" t="n"/>
      <c r="F296" s="18" t="n"/>
      <c r="G296" s="18" t="n"/>
      <c r="H296" s="14" t="n"/>
      <c r="I296" s="14" t="n"/>
      <c r="J296" s="10" t="n"/>
      <c r="K296" s="15">
        <f>IF(OR(A296="",D296=""),"",D296-H296-I296)</f>
        <v/>
      </c>
      <c r="L296" s="12">
        <f>IF(K296="","",IF(K296&gt;0,"На руках",IF(I296&gt;0,IF(H296&gt;0,"Удержан частично","Удержан"),"Возвращён")))</f>
        <v/>
      </c>
      <c r="M296" s="10" t="n"/>
      <c r="N296" s="19">
        <f>IF(K296="","",IF(K296&gt;0,IFERROR(IF(INDEX(Брони!$F$2:$F$500,MATCH(A296,Брони!$A$2:$A$500,0))="Возвращена",TODAY()-INT(INDEX(Брони!$E$2:$E$500,MATCH(A296,Брони!$A$2:$A$500,0))),""),""),""))</f>
        <v/>
      </c>
      <c r="O296" s="19">
        <f>IF(OR(N296="",Настройки!$B$8=""),"",IF(N296&gt;Настройки!$B$8,1,""))</f>
        <v/>
      </c>
    </row>
    <row r="297">
      <c r="A297" s="9" t="n"/>
      <c r="B297" s="12">
        <f>IF(A297="","",IFERROR(INDEX(Брони!$C$2:$C$500,MATCH(A297,Брони!$A$2:$A$500,0)),""))</f>
        <v/>
      </c>
      <c r="C297" s="12">
        <f>IF(A297="","",IFERROR(INDEX(Брони!$B$2:$B$500,MATCH(A297,Брони!$A$2:$A$500,0)),""))</f>
        <v/>
      </c>
      <c r="D297" s="14" t="n"/>
      <c r="E297" s="10" t="n"/>
      <c r="F297" s="18" t="n"/>
      <c r="G297" s="18" t="n"/>
      <c r="H297" s="14" t="n"/>
      <c r="I297" s="14" t="n"/>
      <c r="J297" s="10" t="n"/>
      <c r="K297" s="15">
        <f>IF(OR(A297="",D297=""),"",D297-H297-I297)</f>
        <v/>
      </c>
      <c r="L297" s="12">
        <f>IF(K297="","",IF(K297&gt;0,"На руках",IF(I297&gt;0,IF(H297&gt;0,"Удержан частично","Удержан"),"Возвращён")))</f>
        <v/>
      </c>
      <c r="M297" s="10" t="n"/>
      <c r="N297" s="19">
        <f>IF(K297="","",IF(K297&gt;0,IFERROR(IF(INDEX(Брони!$F$2:$F$500,MATCH(A297,Брони!$A$2:$A$500,0))="Возвращена",TODAY()-INT(INDEX(Брони!$E$2:$E$500,MATCH(A297,Брони!$A$2:$A$500,0))),""),""),""))</f>
        <v/>
      </c>
      <c r="O297" s="19">
        <f>IF(OR(N297="",Настройки!$B$8=""),"",IF(N297&gt;Настройки!$B$8,1,""))</f>
        <v/>
      </c>
    </row>
    <row r="298">
      <c r="A298" s="9" t="n"/>
      <c r="B298" s="12">
        <f>IF(A298="","",IFERROR(INDEX(Брони!$C$2:$C$500,MATCH(A298,Брони!$A$2:$A$500,0)),""))</f>
        <v/>
      </c>
      <c r="C298" s="12">
        <f>IF(A298="","",IFERROR(INDEX(Брони!$B$2:$B$500,MATCH(A298,Брони!$A$2:$A$500,0)),""))</f>
        <v/>
      </c>
      <c r="D298" s="14" t="n"/>
      <c r="E298" s="10" t="n"/>
      <c r="F298" s="18" t="n"/>
      <c r="G298" s="18" t="n"/>
      <c r="H298" s="14" t="n"/>
      <c r="I298" s="14" t="n"/>
      <c r="J298" s="10" t="n"/>
      <c r="K298" s="15">
        <f>IF(OR(A298="",D298=""),"",D298-H298-I298)</f>
        <v/>
      </c>
      <c r="L298" s="12">
        <f>IF(K298="","",IF(K298&gt;0,"На руках",IF(I298&gt;0,IF(H298&gt;0,"Удержан частично","Удержан"),"Возвращён")))</f>
        <v/>
      </c>
      <c r="M298" s="10" t="n"/>
      <c r="N298" s="19">
        <f>IF(K298="","",IF(K298&gt;0,IFERROR(IF(INDEX(Брони!$F$2:$F$500,MATCH(A298,Брони!$A$2:$A$500,0))="Возвращена",TODAY()-INT(INDEX(Брони!$E$2:$E$500,MATCH(A298,Брони!$A$2:$A$500,0))),""),""),""))</f>
        <v/>
      </c>
      <c r="O298" s="19">
        <f>IF(OR(N298="",Настройки!$B$8=""),"",IF(N298&gt;Настройки!$B$8,1,""))</f>
        <v/>
      </c>
    </row>
    <row r="299">
      <c r="A299" s="9" t="n"/>
      <c r="B299" s="12">
        <f>IF(A299="","",IFERROR(INDEX(Брони!$C$2:$C$500,MATCH(A299,Брони!$A$2:$A$500,0)),""))</f>
        <v/>
      </c>
      <c r="C299" s="12">
        <f>IF(A299="","",IFERROR(INDEX(Брони!$B$2:$B$500,MATCH(A299,Брони!$A$2:$A$500,0)),""))</f>
        <v/>
      </c>
      <c r="D299" s="14" t="n"/>
      <c r="E299" s="10" t="n"/>
      <c r="F299" s="18" t="n"/>
      <c r="G299" s="18" t="n"/>
      <c r="H299" s="14" t="n"/>
      <c r="I299" s="14" t="n"/>
      <c r="J299" s="10" t="n"/>
      <c r="K299" s="15">
        <f>IF(OR(A299="",D299=""),"",D299-H299-I299)</f>
        <v/>
      </c>
      <c r="L299" s="12">
        <f>IF(K299="","",IF(K299&gt;0,"На руках",IF(I299&gt;0,IF(H299&gt;0,"Удержан частично","Удержан"),"Возвращён")))</f>
        <v/>
      </c>
      <c r="M299" s="10" t="n"/>
      <c r="N299" s="19">
        <f>IF(K299="","",IF(K299&gt;0,IFERROR(IF(INDEX(Брони!$F$2:$F$500,MATCH(A299,Брони!$A$2:$A$500,0))="Возвращена",TODAY()-INT(INDEX(Брони!$E$2:$E$500,MATCH(A299,Брони!$A$2:$A$500,0))),""),""),""))</f>
        <v/>
      </c>
      <c r="O299" s="19">
        <f>IF(OR(N299="",Настройки!$B$8=""),"",IF(N299&gt;Настройки!$B$8,1,""))</f>
        <v/>
      </c>
    </row>
    <row r="300">
      <c r="A300" s="9" t="n"/>
      <c r="B300" s="12">
        <f>IF(A300="","",IFERROR(INDEX(Брони!$C$2:$C$500,MATCH(A300,Брони!$A$2:$A$500,0)),""))</f>
        <v/>
      </c>
      <c r="C300" s="12">
        <f>IF(A300="","",IFERROR(INDEX(Брони!$B$2:$B$500,MATCH(A300,Брони!$A$2:$A$500,0)),""))</f>
        <v/>
      </c>
      <c r="D300" s="14" t="n"/>
      <c r="E300" s="10" t="n"/>
      <c r="F300" s="18" t="n"/>
      <c r="G300" s="18" t="n"/>
      <c r="H300" s="14" t="n"/>
      <c r="I300" s="14" t="n"/>
      <c r="J300" s="10" t="n"/>
      <c r="K300" s="15">
        <f>IF(OR(A300="",D300=""),"",D300-H300-I300)</f>
        <v/>
      </c>
      <c r="L300" s="12">
        <f>IF(K300="","",IF(K300&gt;0,"На руках",IF(I300&gt;0,IF(H300&gt;0,"Удержан частично","Удержан"),"Возвращён")))</f>
        <v/>
      </c>
      <c r="M300" s="10" t="n"/>
      <c r="N300" s="19">
        <f>IF(K300="","",IF(K300&gt;0,IFERROR(IF(INDEX(Брони!$F$2:$F$500,MATCH(A300,Брони!$A$2:$A$500,0))="Возвращена",TODAY()-INT(INDEX(Брони!$E$2:$E$500,MATCH(A300,Брони!$A$2:$A$500,0))),""),""),""))</f>
        <v/>
      </c>
      <c r="O300" s="19">
        <f>IF(OR(N300="",Настройки!$B$8=""),"",IF(N300&gt;Настройки!$B$8,1,""))</f>
        <v/>
      </c>
    </row>
    <row r="301">
      <c r="A301" s="9" t="n"/>
      <c r="B301" s="12">
        <f>IF(A301="","",IFERROR(INDEX(Брони!$C$2:$C$500,MATCH(A301,Брони!$A$2:$A$500,0)),""))</f>
        <v/>
      </c>
      <c r="C301" s="12">
        <f>IF(A301="","",IFERROR(INDEX(Брони!$B$2:$B$500,MATCH(A301,Брони!$A$2:$A$500,0)),""))</f>
        <v/>
      </c>
      <c r="D301" s="14" t="n"/>
      <c r="E301" s="10" t="n"/>
      <c r="F301" s="18" t="n"/>
      <c r="G301" s="18" t="n"/>
      <c r="H301" s="14" t="n"/>
      <c r="I301" s="14" t="n"/>
      <c r="J301" s="10" t="n"/>
      <c r="K301" s="15">
        <f>IF(OR(A301="",D301=""),"",D301-H301-I301)</f>
        <v/>
      </c>
      <c r="L301" s="12">
        <f>IF(K301="","",IF(K301&gt;0,"На руках",IF(I301&gt;0,IF(H301&gt;0,"Удержан частично","Удержан"),"Возвращён")))</f>
        <v/>
      </c>
      <c r="M301" s="10" t="n"/>
      <c r="N301" s="19">
        <f>IF(K301="","",IF(K301&gt;0,IFERROR(IF(INDEX(Брони!$F$2:$F$500,MATCH(A301,Брони!$A$2:$A$500,0))="Возвращена",TODAY()-INT(INDEX(Брони!$E$2:$E$500,MATCH(A301,Брони!$A$2:$A$500,0))),""),""),""))</f>
        <v/>
      </c>
      <c r="O301" s="19">
        <f>IF(OR(N301="",Настройки!$B$8=""),"",IF(N301&gt;Настройки!$B$8,1,""))</f>
        <v/>
      </c>
    </row>
    <row r="302">
      <c r="A302" s="9" t="n"/>
      <c r="B302" s="12">
        <f>IF(A302="","",IFERROR(INDEX(Брони!$C$2:$C$500,MATCH(A302,Брони!$A$2:$A$500,0)),""))</f>
        <v/>
      </c>
      <c r="C302" s="12">
        <f>IF(A302="","",IFERROR(INDEX(Брони!$B$2:$B$500,MATCH(A302,Брони!$A$2:$A$500,0)),""))</f>
        <v/>
      </c>
      <c r="D302" s="14" t="n"/>
      <c r="E302" s="10" t="n"/>
      <c r="F302" s="18" t="n"/>
      <c r="G302" s="18" t="n"/>
      <c r="H302" s="14" t="n"/>
      <c r="I302" s="14" t="n"/>
      <c r="J302" s="10" t="n"/>
      <c r="K302" s="15">
        <f>IF(OR(A302="",D302=""),"",D302-H302-I302)</f>
        <v/>
      </c>
      <c r="L302" s="12">
        <f>IF(K302="","",IF(K302&gt;0,"На руках",IF(I302&gt;0,IF(H302&gt;0,"Удержан частично","Удержан"),"Возвращён")))</f>
        <v/>
      </c>
      <c r="M302" s="10" t="n"/>
      <c r="N302" s="19">
        <f>IF(K302="","",IF(K302&gt;0,IFERROR(IF(INDEX(Брони!$F$2:$F$500,MATCH(A302,Брони!$A$2:$A$500,0))="Возвращена",TODAY()-INT(INDEX(Брони!$E$2:$E$500,MATCH(A302,Брони!$A$2:$A$500,0))),""),""),""))</f>
        <v/>
      </c>
      <c r="O302" s="19">
        <f>IF(OR(N302="",Настройки!$B$8=""),"",IF(N302&gt;Настройки!$B$8,1,""))</f>
        <v/>
      </c>
    </row>
    <row r="303">
      <c r="A303" s="9" t="n"/>
      <c r="B303" s="12">
        <f>IF(A303="","",IFERROR(INDEX(Брони!$C$2:$C$500,MATCH(A303,Брони!$A$2:$A$500,0)),""))</f>
        <v/>
      </c>
      <c r="C303" s="12">
        <f>IF(A303="","",IFERROR(INDEX(Брони!$B$2:$B$500,MATCH(A303,Брони!$A$2:$A$500,0)),""))</f>
        <v/>
      </c>
      <c r="D303" s="14" t="n"/>
      <c r="E303" s="10" t="n"/>
      <c r="F303" s="18" t="n"/>
      <c r="G303" s="18" t="n"/>
      <c r="H303" s="14" t="n"/>
      <c r="I303" s="14" t="n"/>
      <c r="J303" s="10" t="n"/>
      <c r="K303" s="15">
        <f>IF(OR(A303="",D303=""),"",D303-H303-I303)</f>
        <v/>
      </c>
      <c r="L303" s="12">
        <f>IF(K303="","",IF(K303&gt;0,"На руках",IF(I303&gt;0,IF(H303&gt;0,"Удержан частично","Удержан"),"Возвращён")))</f>
        <v/>
      </c>
      <c r="M303" s="10" t="n"/>
      <c r="N303" s="19">
        <f>IF(K303="","",IF(K303&gt;0,IFERROR(IF(INDEX(Брони!$F$2:$F$500,MATCH(A303,Брони!$A$2:$A$500,0))="Возвращена",TODAY()-INT(INDEX(Брони!$E$2:$E$500,MATCH(A303,Брони!$A$2:$A$500,0))),""),""),""))</f>
        <v/>
      </c>
      <c r="O303" s="19">
        <f>IF(OR(N303="",Настройки!$B$8=""),"",IF(N303&gt;Настройки!$B$8,1,""))</f>
        <v/>
      </c>
    </row>
    <row r="304">
      <c r="A304" s="9" t="n"/>
      <c r="B304" s="12">
        <f>IF(A304="","",IFERROR(INDEX(Брони!$C$2:$C$500,MATCH(A304,Брони!$A$2:$A$500,0)),""))</f>
        <v/>
      </c>
      <c r="C304" s="12">
        <f>IF(A304="","",IFERROR(INDEX(Брони!$B$2:$B$500,MATCH(A304,Брони!$A$2:$A$500,0)),""))</f>
        <v/>
      </c>
      <c r="D304" s="14" t="n"/>
      <c r="E304" s="10" t="n"/>
      <c r="F304" s="18" t="n"/>
      <c r="G304" s="18" t="n"/>
      <c r="H304" s="14" t="n"/>
      <c r="I304" s="14" t="n"/>
      <c r="J304" s="10" t="n"/>
      <c r="K304" s="15">
        <f>IF(OR(A304="",D304=""),"",D304-H304-I304)</f>
        <v/>
      </c>
      <c r="L304" s="12">
        <f>IF(K304="","",IF(K304&gt;0,"На руках",IF(I304&gt;0,IF(H304&gt;0,"Удержан частично","Удержан"),"Возвращён")))</f>
        <v/>
      </c>
      <c r="M304" s="10" t="n"/>
      <c r="N304" s="19">
        <f>IF(K304="","",IF(K304&gt;0,IFERROR(IF(INDEX(Брони!$F$2:$F$500,MATCH(A304,Брони!$A$2:$A$500,0))="Возвращена",TODAY()-INT(INDEX(Брони!$E$2:$E$500,MATCH(A304,Брони!$A$2:$A$500,0))),""),""),""))</f>
        <v/>
      </c>
      <c r="O304" s="19">
        <f>IF(OR(N304="",Настройки!$B$8=""),"",IF(N304&gt;Настройки!$B$8,1,""))</f>
        <v/>
      </c>
    </row>
    <row r="305">
      <c r="A305" s="9" t="n"/>
      <c r="B305" s="12">
        <f>IF(A305="","",IFERROR(INDEX(Брони!$C$2:$C$500,MATCH(A305,Брони!$A$2:$A$500,0)),""))</f>
        <v/>
      </c>
      <c r="C305" s="12">
        <f>IF(A305="","",IFERROR(INDEX(Брони!$B$2:$B$500,MATCH(A305,Брони!$A$2:$A$500,0)),""))</f>
        <v/>
      </c>
      <c r="D305" s="14" t="n"/>
      <c r="E305" s="10" t="n"/>
      <c r="F305" s="18" t="n"/>
      <c r="G305" s="18" t="n"/>
      <c r="H305" s="14" t="n"/>
      <c r="I305" s="14" t="n"/>
      <c r="J305" s="10" t="n"/>
      <c r="K305" s="15">
        <f>IF(OR(A305="",D305=""),"",D305-H305-I305)</f>
        <v/>
      </c>
      <c r="L305" s="12">
        <f>IF(K305="","",IF(K305&gt;0,"На руках",IF(I305&gt;0,IF(H305&gt;0,"Удержан частично","Удержан"),"Возвращён")))</f>
        <v/>
      </c>
      <c r="M305" s="10" t="n"/>
      <c r="N305" s="19">
        <f>IF(K305="","",IF(K305&gt;0,IFERROR(IF(INDEX(Брони!$F$2:$F$500,MATCH(A305,Брони!$A$2:$A$500,0))="Возвращена",TODAY()-INT(INDEX(Брони!$E$2:$E$500,MATCH(A305,Брони!$A$2:$A$500,0))),""),""),""))</f>
        <v/>
      </c>
      <c r="O305" s="19">
        <f>IF(OR(N305="",Настройки!$B$8=""),"",IF(N305&gt;Настройки!$B$8,1,""))</f>
        <v/>
      </c>
    </row>
    <row r="306">
      <c r="A306" s="9" t="n"/>
      <c r="B306" s="12">
        <f>IF(A306="","",IFERROR(INDEX(Брони!$C$2:$C$500,MATCH(A306,Брони!$A$2:$A$500,0)),""))</f>
        <v/>
      </c>
      <c r="C306" s="12">
        <f>IF(A306="","",IFERROR(INDEX(Брони!$B$2:$B$500,MATCH(A306,Брони!$A$2:$A$500,0)),""))</f>
        <v/>
      </c>
      <c r="D306" s="14" t="n"/>
      <c r="E306" s="10" t="n"/>
      <c r="F306" s="18" t="n"/>
      <c r="G306" s="18" t="n"/>
      <c r="H306" s="14" t="n"/>
      <c r="I306" s="14" t="n"/>
      <c r="J306" s="10" t="n"/>
      <c r="K306" s="15">
        <f>IF(OR(A306="",D306=""),"",D306-H306-I306)</f>
        <v/>
      </c>
      <c r="L306" s="12">
        <f>IF(K306="","",IF(K306&gt;0,"На руках",IF(I306&gt;0,IF(H306&gt;0,"Удержан частично","Удержан"),"Возвращён")))</f>
        <v/>
      </c>
      <c r="M306" s="10" t="n"/>
      <c r="N306" s="19">
        <f>IF(K306="","",IF(K306&gt;0,IFERROR(IF(INDEX(Брони!$F$2:$F$500,MATCH(A306,Брони!$A$2:$A$500,0))="Возвращена",TODAY()-INT(INDEX(Брони!$E$2:$E$500,MATCH(A306,Брони!$A$2:$A$500,0))),""),""),""))</f>
        <v/>
      </c>
      <c r="O306" s="19">
        <f>IF(OR(N306="",Настройки!$B$8=""),"",IF(N306&gt;Настройки!$B$8,1,""))</f>
        <v/>
      </c>
    </row>
    <row r="307">
      <c r="A307" s="9" t="n"/>
      <c r="B307" s="12">
        <f>IF(A307="","",IFERROR(INDEX(Брони!$C$2:$C$500,MATCH(A307,Брони!$A$2:$A$500,0)),""))</f>
        <v/>
      </c>
      <c r="C307" s="12">
        <f>IF(A307="","",IFERROR(INDEX(Брони!$B$2:$B$500,MATCH(A307,Брони!$A$2:$A$500,0)),""))</f>
        <v/>
      </c>
      <c r="D307" s="14" t="n"/>
      <c r="E307" s="10" t="n"/>
      <c r="F307" s="18" t="n"/>
      <c r="G307" s="18" t="n"/>
      <c r="H307" s="14" t="n"/>
      <c r="I307" s="14" t="n"/>
      <c r="J307" s="10" t="n"/>
      <c r="K307" s="15">
        <f>IF(OR(A307="",D307=""),"",D307-H307-I307)</f>
        <v/>
      </c>
      <c r="L307" s="12">
        <f>IF(K307="","",IF(K307&gt;0,"На руках",IF(I307&gt;0,IF(H307&gt;0,"Удержан частично","Удержан"),"Возвращён")))</f>
        <v/>
      </c>
      <c r="M307" s="10" t="n"/>
      <c r="N307" s="19">
        <f>IF(K307="","",IF(K307&gt;0,IFERROR(IF(INDEX(Брони!$F$2:$F$500,MATCH(A307,Брони!$A$2:$A$500,0))="Возвращена",TODAY()-INT(INDEX(Брони!$E$2:$E$500,MATCH(A307,Брони!$A$2:$A$500,0))),""),""),""))</f>
        <v/>
      </c>
      <c r="O307" s="19">
        <f>IF(OR(N307="",Настройки!$B$8=""),"",IF(N307&gt;Настройки!$B$8,1,""))</f>
        <v/>
      </c>
    </row>
    <row r="308">
      <c r="A308" s="9" t="n"/>
      <c r="B308" s="12">
        <f>IF(A308="","",IFERROR(INDEX(Брони!$C$2:$C$500,MATCH(A308,Брони!$A$2:$A$500,0)),""))</f>
        <v/>
      </c>
      <c r="C308" s="12">
        <f>IF(A308="","",IFERROR(INDEX(Брони!$B$2:$B$500,MATCH(A308,Брони!$A$2:$A$500,0)),""))</f>
        <v/>
      </c>
      <c r="D308" s="14" t="n"/>
      <c r="E308" s="10" t="n"/>
      <c r="F308" s="18" t="n"/>
      <c r="G308" s="18" t="n"/>
      <c r="H308" s="14" t="n"/>
      <c r="I308" s="14" t="n"/>
      <c r="J308" s="10" t="n"/>
      <c r="K308" s="15">
        <f>IF(OR(A308="",D308=""),"",D308-H308-I308)</f>
        <v/>
      </c>
      <c r="L308" s="12">
        <f>IF(K308="","",IF(K308&gt;0,"На руках",IF(I308&gt;0,IF(H308&gt;0,"Удержан частично","Удержан"),"Возвращён")))</f>
        <v/>
      </c>
      <c r="M308" s="10" t="n"/>
      <c r="N308" s="19">
        <f>IF(K308="","",IF(K308&gt;0,IFERROR(IF(INDEX(Брони!$F$2:$F$500,MATCH(A308,Брони!$A$2:$A$500,0))="Возвращена",TODAY()-INT(INDEX(Брони!$E$2:$E$500,MATCH(A308,Брони!$A$2:$A$500,0))),""),""),""))</f>
        <v/>
      </c>
      <c r="O308" s="19">
        <f>IF(OR(N308="",Настройки!$B$8=""),"",IF(N308&gt;Настройки!$B$8,1,""))</f>
        <v/>
      </c>
    </row>
    <row r="309">
      <c r="A309" s="9" t="n"/>
      <c r="B309" s="12">
        <f>IF(A309="","",IFERROR(INDEX(Брони!$C$2:$C$500,MATCH(A309,Брони!$A$2:$A$500,0)),""))</f>
        <v/>
      </c>
      <c r="C309" s="12">
        <f>IF(A309="","",IFERROR(INDEX(Брони!$B$2:$B$500,MATCH(A309,Брони!$A$2:$A$500,0)),""))</f>
        <v/>
      </c>
      <c r="D309" s="14" t="n"/>
      <c r="E309" s="10" t="n"/>
      <c r="F309" s="18" t="n"/>
      <c r="G309" s="18" t="n"/>
      <c r="H309" s="14" t="n"/>
      <c r="I309" s="14" t="n"/>
      <c r="J309" s="10" t="n"/>
      <c r="K309" s="15">
        <f>IF(OR(A309="",D309=""),"",D309-H309-I309)</f>
        <v/>
      </c>
      <c r="L309" s="12">
        <f>IF(K309="","",IF(K309&gt;0,"На руках",IF(I309&gt;0,IF(H309&gt;0,"Удержан частично","Удержан"),"Возвращён")))</f>
        <v/>
      </c>
      <c r="M309" s="10" t="n"/>
      <c r="N309" s="19">
        <f>IF(K309="","",IF(K309&gt;0,IFERROR(IF(INDEX(Брони!$F$2:$F$500,MATCH(A309,Брони!$A$2:$A$500,0))="Возвращена",TODAY()-INT(INDEX(Брони!$E$2:$E$500,MATCH(A309,Брони!$A$2:$A$500,0))),""),""),""))</f>
        <v/>
      </c>
      <c r="O309" s="19">
        <f>IF(OR(N309="",Настройки!$B$8=""),"",IF(N309&gt;Настройки!$B$8,1,""))</f>
        <v/>
      </c>
    </row>
    <row r="310">
      <c r="A310" s="9" t="n"/>
      <c r="B310" s="12">
        <f>IF(A310="","",IFERROR(INDEX(Брони!$C$2:$C$500,MATCH(A310,Брони!$A$2:$A$500,0)),""))</f>
        <v/>
      </c>
      <c r="C310" s="12">
        <f>IF(A310="","",IFERROR(INDEX(Брони!$B$2:$B$500,MATCH(A310,Брони!$A$2:$A$500,0)),""))</f>
        <v/>
      </c>
      <c r="D310" s="14" t="n"/>
      <c r="E310" s="10" t="n"/>
      <c r="F310" s="18" t="n"/>
      <c r="G310" s="18" t="n"/>
      <c r="H310" s="14" t="n"/>
      <c r="I310" s="14" t="n"/>
      <c r="J310" s="10" t="n"/>
      <c r="K310" s="15">
        <f>IF(OR(A310="",D310=""),"",D310-H310-I310)</f>
        <v/>
      </c>
      <c r="L310" s="12">
        <f>IF(K310="","",IF(K310&gt;0,"На руках",IF(I310&gt;0,IF(H310&gt;0,"Удержан частично","Удержан"),"Возвращён")))</f>
        <v/>
      </c>
      <c r="M310" s="10" t="n"/>
      <c r="N310" s="19">
        <f>IF(K310="","",IF(K310&gt;0,IFERROR(IF(INDEX(Брони!$F$2:$F$500,MATCH(A310,Брони!$A$2:$A$500,0))="Возвращена",TODAY()-INT(INDEX(Брони!$E$2:$E$500,MATCH(A310,Брони!$A$2:$A$500,0))),""),""),""))</f>
        <v/>
      </c>
      <c r="O310" s="19">
        <f>IF(OR(N310="",Настройки!$B$8=""),"",IF(N310&gt;Настройки!$B$8,1,""))</f>
        <v/>
      </c>
    </row>
    <row r="311">
      <c r="A311" s="9" t="n"/>
      <c r="B311" s="12">
        <f>IF(A311="","",IFERROR(INDEX(Брони!$C$2:$C$500,MATCH(A311,Брони!$A$2:$A$500,0)),""))</f>
        <v/>
      </c>
      <c r="C311" s="12">
        <f>IF(A311="","",IFERROR(INDEX(Брони!$B$2:$B$500,MATCH(A311,Брони!$A$2:$A$500,0)),""))</f>
        <v/>
      </c>
      <c r="D311" s="14" t="n"/>
      <c r="E311" s="10" t="n"/>
      <c r="F311" s="18" t="n"/>
      <c r="G311" s="18" t="n"/>
      <c r="H311" s="14" t="n"/>
      <c r="I311" s="14" t="n"/>
      <c r="J311" s="10" t="n"/>
      <c r="K311" s="15">
        <f>IF(OR(A311="",D311=""),"",D311-H311-I311)</f>
        <v/>
      </c>
      <c r="L311" s="12">
        <f>IF(K311="","",IF(K311&gt;0,"На руках",IF(I311&gt;0,IF(H311&gt;0,"Удержан частично","Удержан"),"Возвращён")))</f>
        <v/>
      </c>
      <c r="M311" s="10" t="n"/>
      <c r="N311" s="19">
        <f>IF(K311="","",IF(K311&gt;0,IFERROR(IF(INDEX(Брони!$F$2:$F$500,MATCH(A311,Брони!$A$2:$A$500,0))="Возвращена",TODAY()-INT(INDEX(Брони!$E$2:$E$500,MATCH(A311,Брони!$A$2:$A$500,0))),""),""),""))</f>
        <v/>
      </c>
      <c r="O311" s="19">
        <f>IF(OR(N311="",Настройки!$B$8=""),"",IF(N311&gt;Настройки!$B$8,1,""))</f>
        <v/>
      </c>
    </row>
    <row r="312">
      <c r="A312" s="9" t="n"/>
      <c r="B312" s="12">
        <f>IF(A312="","",IFERROR(INDEX(Брони!$C$2:$C$500,MATCH(A312,Брони!$A$2:$A$500,0)),""))</f>
        <v/>
      </c>
      <c r="C312" s="12">
        <f>IF(A312="","",IFERROR(INDEX(Брони!$B$2:$B$500,MATCH(A312,Брони!$A$2:$A$500,0)),""))</f>
        <v/>
      </c>
      <c r="D312" s="14" t="n"/>
      <c r="E312" s="10" t="n"/>
      <c r="F312" s="18" t="n"/>
      <c r="G312" s="18" t="n"/>
      <c r="H312" s="14" t="n"/>
      <c r="I312" s="14" t="n"/>
      <c r="J312" s="10" t="n"/>
      <c r="K312" s="15">
        <f>IF(OR(A312="",D312=""),"",D312-H312-I312)</f>
        <v/>
      </c>
      <c r="L312" s="12">
        <f>IF(K312="","",IF(K312&gt;0,"На руках",IF(I312&gt;0,IF(H312&gt;0,"Удержан частично","Удержан"),"Возвращён")))</f>
        <v/>
      </c>
      <c r="M312" s="10" t="n"/>
      <c r="N312" s="19">
        <f>IF(K312="","",IF(K312&gt;0,IFERROR(IF(INDEX(Брони!$F$2:$F$500,MATCH(A312,Брони!$A$2:$A$500,0))="Возвращена",TODAY()-INT(INDEX(Брони!$E$2:$E$500,MATCH(A312,Брони!$A$2:$A$500,0))),""),""),""))</f>
        <v/>
      </c>
      <c r="O312" s="19">
        <f>IF(OR(N312="",Настройки!$B$8=""),"",IF(N312&gt;Настройки!$B$8,1,""))</f>
        <v/>
      </c>
    </row>
    <row r="313">
      <c r="A313" s="9" t="n"/>
      <c r="B313" s="12">
        <f>IF(A313="","",IFERROR(INDEX(Брони!$C$2:$C$500,MATCH(A313,Брони!$A$2:$A$500,0)),""))</f>
        <v/>
      </c>
      <c r="C313" s="12">
        <f>IF(A313="","",IFERROR(INDEX(Брони!$B$2:$B$500,MATCH(A313,Брони!$A$2:$A$500,0)),""))</f>
        <v/>
      </c>
      <c r="D313" s="14" t="n"/>
      <c r="E313" s="10" t="n"/>
      <c r="F313" s="18" t="n"/>
      <c r="G313" s="18" t="n"/>
      <c r="H313" s="14" t="n"/>
      <c r="I313" s="14" t="n"/>
      <c r="J313" s="10" t="n"/>
      <c r="K313" s="15">
        <f>IF(OR(A313="",D313=""),"",D313-H313-I313)</f>
        <v/>
      </c>
      <c r="L313" s="12">
        <f>IF(K313="","",IF(K313&gt;0,"На руках",IF(I313&gt;0,IF(H313&gt;0,"Удержан частично","Удержан"),"Возвращён")))</f>
        <v/>
      </c>
      <c r="M313" s="10" t="n"/>
      <c r="N313" s="19">
        <f>IF(K313="","",IF(K313&gt;0,IFERROR(IF(INDEX(Брони!$F$2:$F$500,MATCH(A313,Брони!$A$2:$A$500,0))="Возвращена",TODAY()-INT(INDEX(Брони!$E$2:$E$500,MATCH(A313,Брони!$A$2:$A$500,0))),""),""),""))</f>
        <v/>
      </c>
      <c r="O313" s="19">
        <f>IF(OR(N313="",Настройки!$B$8=""),"",IF(N313&gt;Настройки!$B$8,1,""))</f>
        <v/>
      </c>
    </row>
    <row r="314">
      <c r="A314" s="9" t="n"/>
      <c r="B314" s="12">
        <f>IF(A314="","",IFERROR(INDEX(Брони!$C$2:$C$500,MATCH(A314,Брони!$A$2:$A$500,0)),""))</f>
        <v/>
      </c>
      <c r="C314" s="12">
        <f>IF(A314="","",IFERROR(INDEX(Брони!$B$2:$B$500,MATCH(A314,Брони!$A$2:$A$500,0)),""))</f>
        <v/>
      </c>
      <c r="D314" s="14" t="n"/>
      <c r="E314" s="10" t="n"/>
      <c r="F314" s="18" t="n"/>
      <c r="G314" s="18" t="n"/>
      <c r="H314" s="14" t="n"/>
      <c r="I314" s="14" t="n"/>
      <c r="J314" s="10" t="n"/>
      <c r="K314" s="15">
        <f>IF(OR(A314="",D314=""),"",D314-H314-I314)</f>
        <v/>
      </c>
      <c r="L314" s="12">
        <f>IF(K314="","",IF(K314&gt;0,"На руках",IF(I314&gt;0,IF(H314&gt;0,"Удержан частично","Удержан"),"Возвращён")))</f>
        <v/>
      </c>
      <c r="M314" s="10" t="n"/>
      <c r="N314" s="19">
        <f>IF(K314="","",IF(K314&gt;0,IFERROR(IF(INDEX(Брони!$F$2:$F$500,MATCH(A314,Брони!$A$2:$A$500,0))="Возвращена",TODAY()-INT(INDEX(Брони!$E$2:$E$500,MATCH(A314,Брони!$A$2:$A$500,0))),""),""),""))</f>
        <v/>
      </c>
      <c r="O314" s="19">
        <f>IF(OR(N314="",Настройки!$B$8=""),"",IF(N314&gt;Настройки!$B$8,1,""))</f>
        <v/>
      </c>
    </row>
    <row r="315">
      <c r="A315" s="9" t="n"/>
      <c r="B315" s="12">
        <f>IF(A315="","",IFERROR(INDEX(Брони!$C$2:$C$500,MATCH(A315,Брони!$A$2:$A$500,0)),""))</f>
        <v/>
      </c>
      <c r="C315" s="12">
        <f>IF(A315="","",IFERROR(INDEX(Брони!$B$2:$B$500,MATCH(A315,Брони!$A$2:$A$500,0)),""))</f>
        <v/>
      </c>
      <c r="D315" s="14" t="n"/>
      <c r="E315" s="10" t="n"/>
      <c r="F315" s="18" t="n"/>
      <c r="G315" s="18" t="n"/>
      <c r="H315" s="14" t="n"/>
      <c r="I315" s="14" t="n"/>
      <c r="J315" s="10" t="n"/>
      <c r="K315" s="15">
        <f>IF(OR(A315="",D315=""),"",D315-H315-I315)</f>
        <v/>
      </c>
      <c r="L315" s="12">
        <f>IF(K315="","",IF(K315&gt;0,"На руках",IF(I315&gt;0,IF(H315&gt;0,"Удержан частично","Удержан"),"Возвращён")))</f>
        <v/>
      </c>
      <c r="M315" s="10" t="n"/>
      <c r="N315" s="19">
        <f>IF(K315="","",IF(K315&gt;0,IFERROR(IF(INDEX(Брони!$F$2:$F$500,MATCH(A315,Брони!$A$2:$A$500,0))="Возвращена",TODAY()-INT(INDEX(Брони!$E$2:$E$500,MATCH(A315,Брони!$A$2:$A$500,0))),""),""),""))</f>
        <v/>
      </c>
      <c r="O315" s="19">
        <f>IF(OR(N315="",Настройки!$B$8=""),"",IF(N315&gt;Настройки!$B$8,1,""))</f>
        <v/>
      </c>
    </row>
    <row r="316">
      <c r="A316" s="9" t="n"/>
      <c r="B316" s="12">
        <f>IF(A316="","",IFERROR(INDEX(Брони!$C$2:$C$500,MATCH(A316,Брони!$A$2:$A$500,0)),""))</f>
        <v/>
      </c>
      <c r="C316" s="12">
        <f>IF(A316="","",IFERROR(INDEX(Брони!$B$2:$B$500,MATCH(A316,Брони!$A$2:$A$500,0)),""))</f>
        <v/>
      </c>
      <c r="D316" s="14" t="n"/>
      <c r="E316" s="10" t="n"/>
      <c r="F316" s="18" t="n"/>
      <c r="G316" s="18" t="n"/>
      <c r="H316" s="14" t="n"/>
      <c r="I316" s="14" t="n"/>
      <c r="J316" s="10" t="n"/>
      <c r="K316" s="15">
        <f>IF(OR(A316="",D316=""),"",D316-H316-I316)</f>
        <v/>
      </c>
      <c r="L316" s="12">
        <f>IF(K316="","",IF(K316&gt;0,"На руках",IF(I316&gt;0,IF(H316&gt;0,"Удержан частично","Удержан"),"Возвращён")))</f>
        <v/>
      </c>
      <c r="M316" s="10" t="n"/>
      <c r="N316" s="19">
        <f>IF(K316="","",IF(K316&gt;0,IFERROR(IF(INDEX(Брони!$F$2:$F$500,MATCH(A316,Брони!$A$2:$A$500,0))="Возвращена",TODAY()-INT(INDEX(Брони!$E$2:$E$500,MATCH(A316,Брони!$A$2:$A$500,0))),""),""),""))</f>
        <v/>
      </c>
      <c r="O316" s="19">
        <f>IF(OR(N316="",Настройки!$B$8=""),"",IF(N316&gt;Настройки!$B$8,1,""))</f>
        <v/>
      </c>
    </row>
    <row r="317">
      <c r="A317" s="9" t="n"/>
      <c r="B317" s="12">
        <f>IF(A317="","",IFERROR(INDEX(Брони!$C$2:$C$500,MATCH(A317,Брони!$A$2:$A$500,0)),""))</f>
        <v/>
      </c>
      <c r="C317" s="12">
        <f>IF(A317="","",IFERROR(INDEX(Брони!$B$2:$B$500,MATCH(A317,Брони!$A$2:$A$500,0)),""))</f>
        <v/>
      </c>
      <c r="D317" s="14" t="n"/>
      <c r="E317" s="10" t="n"/>
      <c r="F317" s="18" t="n"/>
      <c r="G317" s="18" t="n"/>
      <c r="H317" s="14" t="n"/>
      <c r="I317" s="14" t="n"/>
      <c r="J317" s="10" t="n"/>
      <c r="K317" s="15">
        <f>IF(OR(A317="",D317=""),"",D317-H317-I317)</f>
        <v/>
      </c>
      <c r="L317" s="12">
        <f>IF(K317="","",IF(K317&gt;0,"На руках",IF(I317&gt;0,IF(H317&gt;0,"Удержан частично","Удержан"),"Возвращён")))</f>
        <v/>
      </c>
      <c r="M317" s="10" t="n"/>
      <c r="N317" s="19">
        <f>IF(K317="","",IF(K317&gt;0,IFERROR(IF(INDEX(Брони!$F$2:$F$500,MATCH(A317,Брони!$A$2:$A$500,0))="Возвращена",TODAY()-INT(INDEX(Брони!$E$2:$E$500,MATCH(A317,Брони!$A$2:$A$500,0))),""),""),""))</f>
        <v/>
      </c>
      <c r="O317" s="19">
        <f>IF(OR(N317="",Настройки!$B$8=""),"",IF(N317&gt;Настройки!$B$8,1,""))</f>
        <v/>
      </c>
    </row>
    <row r="318">
      <c r="A318" s="9" t="n"/>
      <c r="B318" s="12">
        <f>IF(A318="","",IFERROR(INDEX(Брони!$C$2:$C$500,MATCH(A318,Брони!$A$2:$A$500,0)),""))</f>
        <v/>
      </c>
      <c r="C318" s="12">
        <f>IF(A318="","",IFERROR(INDEX(Брони!$B$2:$B$500,MATCH(A318,Брони!$A$2:$A$500,0)),""))</f>
        <v/>
      </c>
      <c r="D318" s="14" t="n"/>
      <c r="E318" s="10" t="n"/>
      <c r="F318" s="18" t="n"/>
      <c r="G318" s="18" t="n"/>
      <c r="H318" s="14" t="n"/>
      <c r="I318" s="14" t="n"/>
      <c r="J318" s="10" t="n"/>
      <c r="K318" s="15">
        <f>IF(OR(A318="",D318=""),"",D318-H318-I318)</f>
        <v/>
      </c>
      <c r="L318" s="12">
        <f>IF(K318="","",IF(K318&gt;0,"На руках",IF(I318&gt;0,IF(H318&gt;0,"Удержан частично","Удержан"),"Возвращён")))</f>
        <v/>
      </c>
      <c r="M318" s="10" t="n"/>
      <c r="N318" s="19">
        <f>IF(K318="","",IF(K318&gt;0,IFERROR(IF(INDEX(Брони!$F$2:$F$500,MATCH(A318,Брони!$A$2:$A$500,0))="Возвращена",TODAY()-INT(INDEX(Брони!$E$2:$E$500,MATCH(A318,Брони!$A$2:$A$500,0))),""),""),""))</f>
        <v/>
      </c>
      <c r="O318" s="19">
        <f>IF(OR(N318="",Настройки!$B$8=""),"",IF(N318&gt;Настройки!$B$8,1,""))</f>
        <v/>
      </c>
    </row>
    <row r="319">
      <c r="A319" s="9" t="n"/>
      <c r="B319" s="12">
        <f>IF(A319="","",IFERROR(INDEX(Брони!$C$2:$C$500,MATCH(A319,Брони!$A$2:$A$500,0)),""))</f>
        <v/>
      </c>
      <c r="C319" s="12">
        <f>IF(A319="","",IFERROR(INDEX(Брони!$B$2:$B$500,MATCH(A319,Брони!$A$2:$A$500,0)),""))</f>
        <v/>
      </c>
      <c r="D319" s="14" t="n"/>
      <c r="E319" s="10" t="n"/>
      <c r="F319" s="18" t="n"/>
      <c r="G319" s="18" t="n"/>
      <c r="H319" s="14" t="n"/>
      <c r="I319" s="14" t="n"/>
      <c r="J319" s="10" t="n"/>
      <c r="K319" s="15">
        <f>IF(OR(A319="",D319=""),"",D319-H319-I319)</f>
        <v/>
      </c>
      <c r="L319" s="12">
        <f>IF(K319="","",IF(K319&gt;0,"На руках",IF(I319&gt;0,IF(H319&gt;0,"Удержан частично","Удержан"),"Возвращён")))</f>
        <v/>
      </c>
      <c r="M319" s="10" t="n"/>
      <c r="N319" s="19">
        <f>IF(K319="","",IF(K319&gt;0,IFERROR(IF(INDEX(Брони!$F$2:$F$500,MATCH(A319,Брони!$A$2:$A$500,0))="Возвращена",TODAY()-INT(INDEX(Брони!$E$2:$E$500,MATCH(A319,Брони!$A$2:$A$500,0))),""),""),""))</f>
        <v/>
      </c>
      <c r="O319" s="19">
        <f>IF(OR(N319="",Настройки!$B$8=""),"",IF(N319&gt;Настройки!$B$8,1,""))</f>
        <v/>
      </c>
    </row>
    <row r="320">
      <c r="A320" s="9" t="n"/>
      <c r="B320" s="12">
        <f>IF(A320="","",IFERROR(INDEX(Брони!$C$2:$C$500,MATCH(A320,Брони!$A$2:$A$500,0)),""))</f>
        <v/>
      </c>
      <c r="C320" s="12">
        <f>IF(A320="","",IFERROR(INDEX(Брони!$B$2:$B$500,MATCH(A320,Брони!$A$2:$A$500,0)),""))</f>
        <v/>
      </c>
      <c r="D320" s="14" t="n"/>
      <c r="E320" s="10" t="n"/>
      <c r="F320" s="18" t="n"/>
      <c r="G320" s="18" t="n"/>
      <c r="H320" s="14" t="n"/>
      <c r="I320" s="14" t="n"/>
      <c r="J320" s="10" t="n"/>
      <c r="K320" s="15">
        <f>IF(OR(A320="",D320=""),"",D320-H320-I320)</f>
        <v/>
      </c>
      <c r="L320" s="12">
        <f>IF(K320="","",IF(K320&gt;0,"На руках",IF(I320&gt;0,IF(H320&gt;0,"Удержан частично","Удержан"),"Возвращён")))</f>
        <v/>
      </c>
      <c r="M320" s="10" t="n"/>
      <c r="N320" s="19">
        <f>IF(K320="","",IF(K320&gt;0,IFERROR(IF(INDEX(Брони!$F$2:$F$500,MATCH(A320,Брони!$A$2:$A$500,0))="Возвращена",TODAY()-INT(INDEX(Брони!$E$2:$E$500,MATCH(A320,Брони!$A$2:$A$500,0))),""),""),""))</f>
        <v/>
      </c>
      <c r="O320" s="19">
        <f>IF(OR(N320="",Настройки!$B$8=""),"",IF(N320&gt;Настройки!$B$8,1,""))</f>
        <v/>
      </c>
    </row>
    <row r="321">
      <c r="A321" s="9" t="n"/>
      <c r="B321" s="12">
        <f>IF(A321="","",IFERROR(INDEX(Брони!$C$2:$C$500,MATCH(A321,Брони!$A$2:$A$500,0)),""))</f>
        <v/>
      </c>
      <c r="C321" s="12">
        <f>IF(A321="","",IFERROR(INDEX(Брони!$B$2:$B$500,MATCH(A321,Брони!$A$2:$A$500,0)),""))</f>
        <v/>
      </c>
      <c r="D321" s="14" t="n"/>
      <c r="E321" s="10" t="n"/>
      <c r="F321" s="18" t="n"/>
      <c r="G321" s="18" t="n"/>
      <c r="H321" s="14" t="n"/>
      <c r="I321" s="14" t="n"/>
      <c r="J321" s="10" t="n"/>
      <c r="K321" s="15">
        <f>IF(OR(A321="",D321=""),"",D321-H321-I321)</f>
        <v/>
      </c>
      <c r="L321" s="12">
        <f>IF(K321="","",IF(K321&gt;0,"На руках",IF(I321&gt;0,IF(H321&gt;0,"Удержан частично","Удержан"),"Возвращён")))</f>
        <v/>
      </c>
      <c r="M321" s="10" t="n"/>
      <c r="N321" s="19">
        <f>IF(K321="","",IF(K321&gt;0,IFERROR(IF(INDEX(Брони!$F$2:$F$500,MATCH(A321,Брони!$A$2:$A$500,0))="Возвращена",TODAY()-INT(INDEX(Брони!$E$2:$E$500,MATCH(A321,Брони!$A$2:$A$500,0))),""),""),""))</f>
        <v/>
      </c>
      <c r="O321" s="19">
        <f>IF(OR(N321="",Настройки!$B$8=""),"",IF(N321&gt;Настройки!$B$8,1,""))</f>
        <v/>
      </c>
    </row>
    <row r="322">
      <c r="A322" s="9" t="n"/>
      <c r="B322" s="12">
        <f>IF(A322="","",IFERROR(INDEX(Брони!$C$2:$C$500,MATCH(A322,Брони!$A$2:$A$500,0)),""))</f>
        <v/>
      </c>
      <c r="C322" s="12">
        <f>IF(A322="","",IFERROR(INDEX(Брони!$B$2:$B$500,MATCH(A322,Брони!$A$2:$A$500,0)),""))</f>
        <v/>
      </c>
      <c r="D322" s="14" t="n"/>
      <c r="E322" s="10" t="n"/>
      <c r="F322" s="18" t="n"/>
      <c r="G322" s="18" t="n"/>
      <c r="H322" s="14" t="n"/>
      <c r="I322" s="14" t="n"/>
      <c r="J322" s="10" t="n"/>
      <c r="K322" s="15">
        <f>IF(OR(A322="",D322=""),"",D322-H322-I322)</f>
        <v/>
      </c>
      <c r="L322" s="12">
        <f>IF(K322="","",IF(K322&gt;0,"На руках",IF(I322&gt;0,IF(H322&gt;0,"Удержан частично","Удержан"),"Возвращён")))</f>
        <v/>
      </c>
      <c r="M322" s="10" t="n"/>
      <c r="N322" s="19">
        <f>IF(K322="","",IF(K322&gt;0,IFERROR(IF(INDEX(Брони!$F$2:$F$500,MATCH(A322,Брони!$A$2:$A$500,0))="Возвращена",TODAY()-INT(INDEX(Брони!$E$2:$E$500,MATCH(A322,Брони!$A$2:$A$500,0))),""),""),""))</f>
        <v/>
      </c>
      <c r="O322" s="19">
        <f>IF(OR(N322="",Настройки!$B$8=""),"",IF(N322&gt;Настройки!$B$8,1,""))</f>
        <v/>
      </c>
    </row>
    <row r="323">
      <c r="A323" s="9" t="n"/>
      <c r="B323" s="12">
        <f>IF(A323="","",IFERROR(INDEX(Брони!$C$2:$C$500,MATCH(A323,Брони!$A$2:$A$500,0)),""))</f>
        <v/>
      </c>
      <c r="C323" s="12">
        <f>IF(A323="","",IFERROR(INDEX(Брони!$B$2:$B$500,MATCH(A323,Брони!$A$2:$A$500,0)),""))</f>
        <v/>
      </c>
      <c r="D323" s="14" t="n"/>
      <c r="E323" s="10" t="n"/>
      <c r="F323" s="18" t="n"/>
      <c r="G323" s="18" t="n"/>
      <c r="H323" s="14" t="n"/>
      <c r="I323" s="14" t="n"/>
      <c r="J323" s="10" t="n"/>
      <c r="K323" s="15">
        <f>IF(OR(A323="",D323=""),"",D323-H323-I323)</f>
        <v/>
      </c>
      <c r="L323" s="12">
        <f>IF(K323="","",IF(K323&gt;0,"На руках",IF(I323&gt;0,IF(H323&gt;0,"Удержан частично","Удержан"),"Возвращён")))</f>
        <v/>
      </c>
      <c r="M323" s="10" t="n"/>
      <c r="N323" s="19">
        <f>IF(K323="","",IF(K323&gt;0,IFERROR(IF(INDEX(Брони!$F$2:$F$500,MATCH(A323,Брони!$A$2:$A$500,0))="Возвращена",TODAY()-INT(INDEX(Брони!$E$2:$E$500,MATCH(A323,Брони!$A$2:$A$500,0))),""),""),""))</f>
        <v/>
      </c>
      <c r="O323" s="19">
        <f>IF(OR(N323="",Настройки!$B$8=""),"",IF(N323&gt;Настройки!$B$8,1,""))</f>
        <v/>
      </c>
    </row>
    <row r="324">
      <c r="A324" s="9" t="n"/>
      <c r="B324" s="12">
        <f>IF(A324="","",IFERROR(INDEX(Брони!$C$2:$C$500,MATCH(A324,Брони!$A$2:$A$500,0)),""))</f>
        <v/>
      </c>
      <c r="C324" s="12">
        <f>IF(A324="","",IFERROR(INDEX(Брони!$B$2:$B$500,MATCH(A324,Брони!$A$2:$A$500,0)),""))</f>
        <v/>
      </c>
      <c r="D324" s="14" t="n"/>
      <c r="E324" s="10" t="n"/>
      <c r="F324" s="18" t="n"/>
      <c r="G324" s="18" t="n"/>
      <c r="H324" s="14" t="n"/>
      <c r="I324" s="14" t="n"/>
      <c r="J324" s="10" t="n"/>
      <c r="K324" s="15">
        <f>IF(OR(A324="",D324=""),"",D324-H324-I324)</f>
        <v/>
      </c>
      <c r="L324" s="12">
        <f>IF(K324="","",IF(K324&gt;0,"На руках",IF(I324&gt;0,IF(H324&gt;0,"Удержан частично","Удержан"),"Возвращён")))</f>
        <v/>
      </c>
      <c r="M324" s="10" t="n"/>
      <c r="N324" s="19">
        <f>IF(K324="","",IF(K324&gt;0,IFERROR(IF(INDEX(Брони!$F$2:$F$500,MATCH(A324,Брони!$A$2:$A$500,0))="Возвращена",TODAY()-INT(INDEX(Брони!$E$2:$E$500,MATCH(A324,Брони!$A$2:$A$500,0))),""),""),""))</f>
        <v/>
      </c>
      <c r="O324" s="19">
        <f>IF(OR(N324="",Настройки!$B$8=""),"",IF(N324&gt;Настройки!$B$8,1,""))</f>
        <v/>
      </c>
    </row>
    <row r="325">
      <c r="A325" s="9" t="n"/>
      <c r="B325" s="12">
        <f>IF(A325="","",IFERROR(INDEX(Брони!$C$2:$C$500,MATCH(A325,Брони!$A$2:$A$500,0)),""))</f>
        <v/>
      </c>
      <c r="C325" s="12">
        <f>IF(A325="","",IFERROR(INDEX(Брони!$B$2:$B$500,MATCH(A325,Брони!$A$2:$A$500,0)),""))</f>
        <v/>
      </c>
      <c r="D325" s="14" t="n"/>
      <c r="E325" s="10" t="n"/>
      <c r="F325" s="18" t="n"/>
      <c r="G325" s="18" t="n"/>
      <c r="H325" s="14" t="n"/>
      <c r="I325" s="14" t="n"/>
      <c r="J325" s="10" t="n"/>
      <c r="K325" s="15">
        <f>IF(OR(A325="",D325=""),"",D325-H325-I325)</f>
        <v/>
      </c>
      <c r="L325" s="12">
        <f>IF(K325="","",IF(K325&gt;0,"На руках",IF(I325&gt;0,IF(H325&gt;0,"Удержан частично","Удержан"),"Возвращён")))</f>
        <v/>
      </c>
      <c r="M325" s="10" t="n"/>
      <c r="N325" s="19">
        <f>IF(K325="","",IF(K325&gt;0,IFERROR(IF(INDEX(Брони!$F$2:$F$500,MATCH(A325,Брони!$A$2:$A$500,0))="Возвращена",TODAY()-INT(INDEX(Брони!$E$2:$E$500,MATCH(A325,Брони!$A$2:$A$500,0))),""),""),""))</f>
        <v/>
      </c>
      <c r="O325" s="19">
        <f>IF(OR(N325="",Настройки!$B$8=""),"",IF(N325&gt;Настройки!$B$8,1,""))</f>
        <v/>
      </c>
    </row>
    <row r="326">
      <c r="A326" s="9" t="n"/>
      <c r="B326" s="12">
        <f>IF(A326="","",IFERROR(INDEX(Брони!$C$2:$C$500,MATCH(A326,Брони!$A$2:$A$500,0)),""))</f>
        <v/>
      </c>
      <c r="C326" s="12">
        <f>IF(A326="","",IFERROR(INDEX(Брони!$B$2:$B$500,MATCH(A326,Брони!$A$2:$A$500,0)),""))</f>
        <v/>
      </c>
      <c r="D326" s="14" t="n"/>
      <c r="E326" s="10" t="n"/>
      <c r="F326" s="18" t="n"/>
      <c r="G326" s="18" t="n"/>
      <c r="H326" s="14" t="n"/>
      <c r="I326" s="14" t="n"/>
      <c r="J326" s="10" t="n"/>
      <c r="K326" s="15">
        <f>IF(OR(A326="",D326=""),"",D326-H326-I326)</f>
        <v/>
      </c>
      <c r="L326" s="12">
        <f>IF(K326="","",IF(K326&gt;0,"На руках",IF(I326&gt;0,IF(H326&gt;0,"Удержан частично","Удержан"),"Возвращён")))</f>
        <v/>
      </c>
      <c r="M326" s="10" t="n"/>
      <c r="N326" s="19">
        <f>IF(K326="","",IF(K326&gt;0,IFERROR(IF(INDEX(Брони!$F$2:$F$500,MATCH(A326,Брони!$A$2:$A$500,0))="Возвращена",TODAY()-INT(INDEX(Брони!$E$2:$E$500,MATCH(A326,Брони!$A$2:$A$500,0))),""),""),""))</f>
        <v/>
      </c>
      <c r="O326" s="19">
        <f>IF(OR(N326="",Настройки!$B$8=""),"",IF(N326&gt;Настройки!$B$8,1,""))</f>
        <v/>
      </c>
    </row>
    <row r="327">
      <c r="A327" s="9" t="n"/>
      <c r="B327" s="12">
        <f>IF(A327="","",IFERROR(INDEX(Брони!$C$2:$C$500,MATCH(A327,Брони!$A$2:$A$500,0)),""))</f>
        <v/>
      </c>
      <c r="C327" s="12">
        <f>IF(A327="","",IFERROR(INDEX(Брони!$B$2:$B$500,MATCH(A327,Брони!$A$2:$A$500,0)),""))</f>
        <v/>
      </c>
      <c r="D327" s="14" t="n"/>
      <c r="E327" s="10" t="n"/>
      <c r="F327" s="18" t="n"/>
      <c r="G327" s="18" t="n"/>
      <c r="H327" s="14" t="n"/>
      <c r="I327" s="14" t="n"/>
      <c r="J327" s="10" t="n"/>
      <c r="K327" s="15">
        <f>IF(OR(A327="",D327=""),"",D327-H327-I327)</f>
        <v/>
      </c>
      <c r="L327" s="12">
        <f>IF(K327="","",IF(K327&gt;0,"На руках",IF(I327&gt;0,IF(H327&gt;0,"Удержан частично","Удержан"),"Возвращён")))</f>
        <v/>
      </c>
      <c r="M327" s="10" t="n"/>
      <c r="N327" s="19">
        <f>IF(K327="","",IF(K327&gt;0,IFERROR(IF(INDEX(Брони!$F$2:$F$500,MATCH(A327,Брони!$A$2:$A$500,0))="Возвращена",TODAY()-INT(INDEX(Брони!$E$2:$E$500,MATCH(A327,Брони!$A$2:$A$500,0))),""),""),""))</f>
        <v/>
      </c>
      <c r="O327" s="19">
        <f>IF(OR(N327="",Настройки!$B$8=""),"",IF(N327&gt;Настройки!$B$8,1,""))</f>
        <v/>
      </c>
    </row>
    <row r="328">
      <c r="A328" s="9" t="n"/>
      <c r="B328" s="12">
        <f>IF(A328="","",IFERROR(INDEX(Брони!$C$2:$C$500,MATCH(A328,Брони!$A$2:$A$500,0)),""))</f>
        <v/>
      </c>
      <c r="C328" s="12">
        <f>IF(A328="","",IFERROR(INDEX(Брони!$B$2:$B$500,MATCH(A328,Брони!$A$2:$A$500,0)),""))</f>
        <v/>
      </c>
      <c r="D328" s="14" t="n"/>
      <c r="E328" s="10" t="n"/>
      <c r="F328" s="18" t="n"/>
      <c r="G328" s="18" t="n"/>
      <c r="H328" s="14" t="n"/>
      <c r="I328" s="14" t="n"/>
      <c r="J328" s="10" t="n"/>
      <c r="K328" s="15">
        <f>IF(OR(A328="",D328=""),"",D328-H328-I328)</f>
        <v/>
      </c>
      <c r="L328" s="12">
        <f>IF(K328="","",IF(K328&gt;0,"На руках",IF(I328&gt;0,IF(H328&gt;0,"Удержан частично","Удержан"),"Возвращён")))</f>
        <v/>
      </c>
      <c r="M328" s="10" t="n"/>
      <c r="N328" s="19">
        <f>IF(K328="","",IF(K328&gt;0,IFERROR(IF(INDEX(Брони!$F$2:$F$500,MATCH(A328,Брони!$A$2:$A$500,0))="Возвращена",TODAY()-INT(INDEX(Брони!$E$2:$E$500,MATCH(A328,Брони!$A$2:$A$500,0))),""),""),""))</f>
        <v/>
      </c>
      <c r="O328" s="19">
        <f>IF(OR(N328="",Настройки!$B$8=""),"",IF(N328&gt;Настройки!$B$8,1,""))</f>
        <v/>
      </c>
    </row>
    <row r="329">
      <c r="A329" s="9" t="n"/>
      <c r="B329" s="12">
        <f>IF(A329="","",IFERROR(INDEX(Брони!$C$2:$C$500,MATCH(A329,Брони!$A$2:$A$500,0)),""))</f>
        <v/>
      </c>
      <c r="C329" s="12">
        <f>IF(A329="","",IFERROR(INDEX(Брони!$B$2:$B$500,MATCH(A329,Брони!$A$2:$A$500,0)),""))</f>
        <v/>
      </c>
      <c r="D329" s="14" t="n"/>
      <c r="E329" s="10" t="n"/>
      <c r="F329" s="18" t="n"/>
      <c r="G329" s="18" t="n"/>
      <c r="H329" s="14" t="n"/>
      <c r="I329" s="14" t="n"/>
      <c r="J329" s="10" t="n"/>
      <c r="K329" s="15">
        <f>IF(OR(A329="",D329=""),"",D329-H329-I329)</f>
        <v/>
      </c>
      <c r="L329" s="12">
        <f>IF(K329="","",IF(K329&gt;0,"На руках",IF(I329&gt;0,IF(H329&gt;0,"Удержан частично","Удержан"),"Возвращён")))</f>
        <v/>
      </c>
      <c r="M329" s="10" t="n"/>
      <c r="N329" s="19">
        <f>IF(K329="","",IF(K329&gt;0,IFERROR(IF(INDEX(Брони!$F$2:$F$500,MATCH(A329,Брони!$A$2:$A$500,0))="Возвращена",TODAY()-INT(INDEX(Брони!$E$2:$E$500,MATCH(A329,Брони!$A$2:$A$500,0))),""),""),""))</f>
        <v/>
      </c>
      <c r="O329" s="19">
        <f>IF(OR(N329="",Настройки!$B$8=""),"",IF(N329&gt;Настройки!$B$8,1,""))</f>
        <v/>
      </c>
    </row>
    <row r="330">
      <c r="A330" s="9" t="n"/>
      <c r="B330" s="12">
        <f>IF(A330="","",IFERROR(INDEX(Брони!$C$2:$C$500,MATCH(A330,Брони!$A$2:$A$500,0)),""))</f>
        <v/>
      </c>
      <c r="C330" s="12">
        <f>IF(A330="","",IFERROR(INDEX(Брони!$B$2:$B$500,MATCH(A330,Брони!$A$2:$A$500,0)),""))</f>
        <v/>
      </c>
      <c r="D330" s="14" t="n"/>
      <c r="E330" s="10" t="n"/>
      <c r="F330" s="18" t="n"/>
      <c r="G330" s="18" t="n"/>
      <c r="H330" s="14" t="n"/>
      <c r="I330" s="14" t="n"/>
      <c r="J330" s="10" t="n"/>
      <c r="K330" s="15">
        <f>IF(OR(A330="",D330=""),"",D330-H330-I330)</f>
        <v/>
      </c>
      <c r="L330" s="12">
        <f>IF(K330="","",IF(K330&gt;0,"На руках",IF(I330&gt;0,IF(H330&gt;0,"Удержан частично","Удержан"),"Возвращён")))</f>
        <v/>
      </c>
      <c r="M330" s="10" t="n"/>
      <c r="N330" s="19">
        <f>IF(K330="","",IF(K330&gt;0,IFERROR(IF(INDEX(Брони!$F$2:$F$500,MATCH(A330,Брони!$A$2:$A$500,0))="Возвращена",TODAY()-INT(INDEX(Брони!$E$2:$E$500,MATCH(A330,Брони!$A$2:$A$500,0))),""),""),""))</f>
        <v/>
      </c>
      <c r="O330" s="19">
        <f>IF(OR(N330="",Настройки!$B$8=""),"",IF(N330&gt;Настройки!$B$8,1,""))</f>
        <v/>
      </c>
    </row>
    <row r="331">
      <c r="A331" s="9" t="n"/>
      <c r="B331" s="12">
        <f>IF(A331="","",IFERROR(INDEX(Брони!$C$2:$C$500,MATCH(A331,Брони!$A$2:$A$500,0)),""))</f>
        <v/>
      </c>
      <c r="C331" s="12">
        <f>IF(A331="","",IFERROR(INDEX(Брони!$B$2:$B$500,MATCH(A331,Брони!$A$2:$A$500,0)),""))</f>
        <v/>
      </c>
      <c r="D331" s="14" t="n"/>
      <c r="E331" s="10" t="n"/>
      <c r="F331" s="18" t="n"/>
      <c r="G331" s="18" t="n"/>
      <c r="H331" s="14" t="n"/>
      <c r="I331" s="14" t="n"/>
      <c r="J331" s="10" t="n"/>
      <c r="K331" s="15">
        <f>IF(OR(A331="",D331=""),"",D331-H331-I331)</f>
        <v/>
      </c>
      <c r="L331" s="12">
        <f>IF(K331="","",IF(K331&gt;0,"На руках",IF(I331&gt;0,IF(H331&gt;0,"Удержан частично","Удержан"),"Возвращён")))</f>
        <v/>
      </c>
      <c r="M331" s="10" t="n"/>
      <c r="N331" s="19">
        <f>IF(K331="","",IF(K331&gt;0,IFERROR(IF(INDEX(Брони!$F$2:$F$500,MATCH(A331,Брони!$A$2:$A$500,0))="Возвращена",TODAY()-INT(INDEX(Брони!$E$2:$E$500,MATCH(A331,Брони!$A$2:$A$500,0))),""),""),""))</f>
        <v/>
      </c>
      <c r="O331" s="19">
        <f>IF(OR(N331="",Настройки!$B$8=""),"",IF(N331&gt;Настройки!$B$8,1,""))</f>
        <v/>
      </c>
    </row>
    <row r="332">
      <c r="A332" s="9" t="n"/>
      <c r="B332" s="12">
        <f>IF(A332="","",IFERROR(INDEX(Брони!$C$2:$C$500,MATCH(A332,Брони!$A$2:$A$500,0)),""))</f>
        <v/>
      </c>
      <c r="C332" s="12">
        <f>IF(A332="","",IFERROR(INDEX(Брони!$B$2:$B$500,MATCH(A332,Брони!$A$2:$A$500,0)),""))</f>
        <v/>
      </c>
      <c r="D332" s="14" t="n"/>
      <c r="E332" s="10" t="n"/>
      <c r="F332" s="18" t="n"/>
      <c r="G332" s="18" t="n"/>
      <c r="H332" s="14" t="n"/>
      <c r="I332" s="14" t="n"/>
      <c r="J332" s="10" t="n"/>
      <c r="K332" s="15">
        <f>IF(OR(A332="",D332=""),"",D332-H332-I332)</f>
        <v/>
      </c>
      <c r="L332" s="12">
        <f>IF(K332="","",IF(K332&gt;0,"На руках",IF(I332&gt;0,IF(H332&gt;0,"Удержан частично","Удержан"),"Возвращён")))</f>
        <v/>
      </c>
      <c r="M332" s="10" t="n"/>
      <c r="N332" s="19">
        <f>IF(K332="","",IF(K332&gt;0,IFERROR(IF(INDEX(Брони!$F$2:$F$500,MATCH(A332,Брони!$A$2:$A$500,0))="Возвращена",TODAY()-INT(INDEX(Брони!$E$2:$E$500,MATCH(A332,Брони!$A$2:$A$500,0))),""),""),""))</f>
        <v/>
      </c>
      <c r="O332" s="19">
        <f>IF(OR(N332="",Настройки!$B$8=""),"",IF(N332&gt;Настройки!$B$8,1,""))</f>
        <v/>
      </c>
    </row>
    <row r="333">
      <c r="A333" s="9" t="n"/>
      <c r="B333" s="12">
        <f>IF(A333="","",IFERROR(INDEX(Брони!$C$2:$C$500,MATCH(A333,Брони!$A$2:$A$500,0)),""))</f>
        <v/>
      </c>
      <c r="C333" s="12">
        <f>IF(A333="","",IFERROR(INDEX(Брони!$B$2:$B$500,MATCH(A333,Брони!$A$2:$A$500,0)),""))</f>
        <v/>
      </c>
      <c r="D333" s="14" t="n"/>
      <c r="E333" s="10" t="n"/>
      <c r="F333" s="18" t="n"/>
      <c r="G333" s="18" t="n"/>
      <c r="H333" s="14" t="n"/>
      <c r="I333" s="14" t="n"/>
      <c r="J333" s="10" t="n"/>
      <c r="K333" s="15">
        <f>IF(OR(A333="",D333=""),"",D333-H333-I333)</f>
        <v/>
      </c>
      <c r="L333" s="12">
        <f>IF(K333="","",IF(K333&gt;0,"На руках",IF(I333&gt;0,IF(H333&gt;0,"Удержан частично","Удержан"),"Возвращён")))</f>
        <v/>
      </c>
      <c r="M333" s="10" t="n"/>
      <c r="N333" s="19">
        <f>IF(K333="","",IF(K333&gt;0,IFERROR(IF(INDEX(Брони!$F$2:$F$500,MATCH(A333,Брони!$A$2:$A$500,0))="Возвращена",TODAY()-INT(INDEX(Брони!$E$2:$E$500,MATCH(A333,Брони!$A$2:$A$500,0))),""),""),""))</f>
        <v/>
      </c>
      <c r="O333" s="19">
        <f>IF(OR(N333="",Настройки!$B$8=""),"",IF(N333&gt;Настройки!$B$8,1,""))</f>
        <v/>
      </c>
    </row>
    <row r="334">
      <c r="A334" s="9" t="n"/>
      <c r="B334" s="12">
        <f>IF(A334="","",IFERROR(INDEX(Брони!$C$2:$C$500,MATCH(A334,Брони!$A$2:$A$500,0)),""))</f>
        <v/>
      </c>
      <c r="C334" s="12">
        <f>IF(A334="","",IFERROR(INDEX(Брони!$B$2:$B$500,MATCH(A334,Брони!$A$2:$A$500,0)),""))</f>
        <v/>
      </c>
      <c r="D334" s="14" t="n"/>
      <c r="E334" s="10" t="n"/>
      <c r="F334" s="18" t="n"/>
      <c r="G334" s="18" t="n"/>
      <c r="H334" s="14" t="n"/>
      <c r="I334" s="14" t="n"/>
      <c r="J334" s="10" t="n"/>
      <c r="K334" s="15">
        <f>IF(OR(A334="",D334=""),"",D334-H334-I334)</f>
        <v/>
      </c>
      <c r="L334" s="12">
        <f>IF(K334="","",IF(K334&gt;0,"На руках",IF(I334&gt;0,IF(H334&gt;0,"Удержан частично","Удержан"),"Возвращён")))</f>
        <v/>
      </c>
      <c r="M334" s="10" t="n"/>
      <c r="N334" s="19">
        <f>IF(K334="","",IF(K334&gt;0,IFERROR(IF(INDEX(Брони!$F$2:$F$500,MATCH(A334,Брони!$A$2:$A$500,0))="Возвращена",TODAY()-INT(INDEX(Брони!$E$2:$E$500,MATCH(A334,Брони!$A$2:$A$500,0))),""),""),""))</f>
        <v/>
      </c>
      <c r="O334" s="19">
        <f>IF(OR(N334="",Настройки!$B$8=""),"",IF(N334&gt;Настройки!$B$8,1,""))</f>
        <v/>
      </c>
    </row>
    <row r="335">
      <c r="A335" s="9" t="n"/>
      <c r="B335" s="12">
        <f>IF(A335="","",IFERROR(INDEX(Брони!$C$2:$C$500,MATCH(A335,Брони!$A$2:$A$500,0)),""))</f>
        <v/>
      </c>
      <c r="C335" s="12">
        <f>IF(A335="","",IFERROR(INDEX(Брони!$B$2:$B$500,MATCH(A335,Брони!$A$2:$A$500,0)),""))</f>
        <v/>
      </c>
      <c r="D335" s="14" t="n"/>
      <c r="E335" s="10" t="n"/>
      <c r="F335" s="18" t="n"/>
      <c r="G335" s="18" t="n"/>
      <c r="H335" s="14" t="n"/>
      <c r="I335" s="14" t="n"/>
      <c r="J335" s="10" t="n"/>
      <c r="K335" s="15">
        <f>IF(OR(A335="",D335=""),"",D335-H335-I335)</f>
        <v/>
      </c>
      <c r="L335" s="12">
        <f>IF(K335="","",IF(K335&gt;0,"На руках",IF(I335&gt;0,IF(H335&gt;0,"Удержан частично","Удержан"),"Возвращён")))</f>
        <v/>
      </c>
      <c r="M335" s="10" t="n"/>
      <c r="N335" s="19">
        <f>IF(K335="","",IF(K335&gt;0,IFERROR(IF(INDEX(Брони!$F$2:$F$500,MATCH(A335,Брони!$A$2:$A$500,0))="Возвращена",TODAY()-INT(INDEX(Брони!$E$2:$E$500,MATCH(A335,Брони!$A$2:$A$500,0))),""),""),""))</f>
        <v/>
      </c>
      <c r="O335" s="19">
        <f>IF(OR(N335="",Настройки!$B$8=""),"",IF(N335&gt;Настройки!$B$8,1,""))</f>
        <v/>
      </c>
    </row>
    <row r="336">
      <c r="A336" s="9" t="n"/>
      <c r="B336" s="12">
        <f>IF(A336="","",IFERROR(INDEX(Брони!$C$2:$C$500,MATCH(A336,Брони!$A$2:$A$500,0)),""))</f>
        <v/>
      </c>
      <c r="C336" s="12">
        <f>IF(A336="","",IFERROR(INDEX(Брони!$B$2:$B$500,MATCH(A336,Брони!$A$2:$A$500,0)),""))</f>
        <v/>
      </c>
      <c r="D336" s="14" t="n"/>
      <c r="E336" s="10" t="n"/>
      <c r="F336" s="18" t="n"/>
      <c r="G336" s="18" t="n"/>
      <c r="H336" s="14" t="n"/>
      <c r="I336" s="14" t="n"/>
      <c r="J336" s="10" t="n"/>
      <c r="K336" s="15">
        <f>IF(OR(A336="",D336=""),"",D336-H336-I336)</f>
        <v/>
      </c>
      <c r="L336" s="12">
        <f>IF(K336="","",IF(K336&gt;0,"На руках",IF(I336&gt;0,IF(H336&gt;0,"Удержан частично","Удержан"),"Возвращён")))</f>
        <v/>
      </c>
      <c r="M336" s="10" t="n"/>
      <c r="N336" s="19">
        <f>IF(K336="","",IF(K336&gt;0,IFERROR(IF(INDEX(Брони!$F$2:$F$500,MATCH(A336,Брони!$A$2:$A$500,0))="Возвращена",TODAY()-INT(INDEX(Брони!$E$2:$E$500,MATCH(A336,Брони!$A$2:$A$500,0))),""),""),""))</f>
        <v/>
      </c>
      <c r="O336" s="19">
        <f>IF(OR(N336="",Настройки!$B$8=""),"",IF(N336&gt;Настройки!$B$8,1,""))</f>
        <v/>
      </c>
    </row>
    <row r="337">
      <c r="A337" s="9" t="n"/>
      <c r="B337" s="12">
        <f>IF(A337="","",IFERROR(INDEX(Брони!$C$2:$C$500,MATCH(A337,Брони!$A$2:$A$500,0)),""))</f>
        <v/>
      </c>
      <c r="C337" s="12">
        <f>IF(A337="","",IFERROR(INDEX(Брони!$B$2:$B$500,MATCH(A337,Брони!$A$2:$A$500,0)),""))</f>
        <v/>
      </c>
      <c r="D337" s="14" t="n"/>
      <c r="E337" s="10" t="n"/>
      <c r="F337" s="18" t="n"/>
      <c r="G337" s="18" t="n"/>
      <c r="H337" s="14" t="n"/>
      <c r="I337" s="14" t="n"/>
      <c r="J337" s="10" t="n"/>
      <c r="K337" s="15">
        <f>IF(OR(A337="",D337=""),"",D337-H337-I337)</f>
        <v/>
      </c>
      <c r="L337" s="12">
        <f>IF(K337="","",IF(K337&gt;0,"На руках",IF(I337&gt;0,IF(H337&gt;0,"Удержан частично","Удержан"),"Возвращён")))</f>
        <v/>
      </c>
      <c r="M337" s="10" t="n"/>
      <c r="N337" s="19">
        <f>IF(K337="","",IF(K337&gt;0,IFERROR(IF(INDEX(Брони!$F$2:$F$500,MATCH(A337,Брони!$A$2:$A$500,0))="Возвращена",TODAY()-INT(INDEX(Брони!$E$2:$E$500,MATCH(A337,Брони!$A$2:$A$500,0))),""),""),""))</f>
        <v/>
      </c>
      <c r="O337" s="19">
        <f>IF(OR(N337="",Настройки!$B$8=""),"",IF(N337&gt;Настройки!$B$8,1,""))</f>
        <v/>
      </c>
    </row>
    <row r="338">
      <c r="A338" s="9" t="n"/>
      <c r="B338" s="12">
        <f>IF(A338="","",IFERROR(INDEX(Брони!$C$2:$C$500,MATCH(A338,Брони!$A$2:$A$500,0)),""))</f>
        <v/>
      </c>
      <c r="C338" s="12">
        <f>IF(A338="","",IFERROR(INDEX(Брони!$B$2:$B$500,MATCH(A338,Брони!$A$2:$A$500,0)),""))</f>
        <v/>
      </c>
      <c r="D338" s="14" t="n"/>
      <c r="E338" s="10" t="n"/>
      <c r="F338" s="18" t="n"/>
      <c r="G338" s="18" t="n"/>
      <c r="H338" s="14" t="n"/>
      <c r="I338" s="14" t="n"/>
      <c r="J338" s="10" t="n"/>
      <c r="K338" s="15">
        <f>IF(OR(A338="",D338=""),"",D338-H338-I338)</f>
        <v/>
      </c>
      <c r="L338" s="12">
        <f>IF(K338="","",IF(K338&gt;0,"На руках",IF(I338&gt;0,IF(H338&gt;0,"Удержан частично","Удержан"),"Возвращён")))</f>
        <v/>
      </c>
      <c r="M338" s="10" t="n"/>
      <c r="N338" s="19">
        <f>IF(K338="","",IF(K338&gt;0,IFERROR(IF(INDEX(Брони!$F$2:$F$500,MATCH(A338,Брони!$A$2:$A$500,0))="Возвращена",TODAY()-INT(INDEX(Брони!$E$2:$E$500,MATCH(A338,Брони!$A$2:$A$500,0))),""),""),""))</f>
        <v/>
      </c>
      <c r="O338" s="19">
        <f>IF(OR(N338="",Настройки!$B$8=""),"",IF(N338&gt;Настройки!$B$8,1,""))</f>
        <v/>
      </c>
    </row>
    <row r="339">
      <c r="A339" s="9" t="n"/>
      <c r="B339" s="12">
        <f>IF(A339="","",IFERROR(INDEX(Брони!$C$2:$C$500,MATCH(A339,Брони!$A$2:$A$500,0)),""))</f>
        <v/>
      </c>
      <c r="C339" s="12">
        <f>IF(A339="","",IFERROR(INDEX(Брони!$B$2:$B$500,MATCH(A339,Брони!$A$2:$A$500,0)),""))</f>
        <v/>
      </c>
      <c r="D339" s="14" t="n"/>
      <c r="E339" s="10" t="n"/>
      <c r="F339" s="18" t="n"/>
      <c r="G339" s="18" t="n"/>
      <c r="H339" s="14" t="n"/>
      <c r="I339" s="14" t="n"/>
      <c r="J339" s="10" t="n"/>
      <c r="K339" s="15">
        <f>IF(OR(A339="",D339=""),"",D339-H339-I339)</f>
        <v/>
      </c>
      <c r="L339" s="12">
        <f>IF(K339="","",IF(K339&gt;0,"На руках",IF(I339&gt;0,IF(H339&gt;0,"Удержан частично","Удержан"),"Возвращён")))</f>
        <v/>
      </c>
      <c r="M339" s="10" t="n"/>
      <c r="N339" s="19">
        <f>IF(K339="","",IF(K339&gt;0,IFERROR(IF(INDEX(Брони!$F$2:$F$500,MATCH(A339,Брони!$A$2:$A$500,0))="Возвращена",TODAY()-INT(INDEX(Брони!$E$2:$E$500,MATCH(A339,Брони!$A$2:$A$500,0))),""),""),""))</f>
        <v/>
      </c>
      <c r="O339" s="19">
        <f>IF(OR(N339="",Настройки!$B$8=""),"",IF(N339&gt;Настройки!$B$8,1,""))</f>
        <v/>
      </c>
    </row>
    <row r="340">
      <c r="A340" s="9" t="n"/>
      <c r="B340" s="12">
        <f>IF(A340="","",IFERROR(INDEX(Брони!$C$2:$C$500,MATCH(A340,Брони!$A$2:$A$500,0)),""))</f>
        <v/>
      </c>
      <c r="C340" s="12">
        <f>IF(A340="","",IFERROR(INDEX(Брони!$B$2:$B$500,MATCH(A340,Брони!$A$2:$A$500,0)),""))</f>
        <v/>
      </c>
      <c r="D340" s="14" t="n"/>
      <c r="E340" s="10" t="n"/>
      <c r="F340" s="18" t="n"/>
      <c r="G340" s="18" t="n"/>
      <c r="H340" s="14" t="n"/>
      <c r="I340" s="14" t="n"/>
      <c r="J340" s="10" t="n"/>
      <c r="K340" s="15">
        <f>IF(OR(A340="",D340=""),"",D340-H340-I340)</f>
        <v/>
      </c>
      <c r="L340" s="12">
        <f>IF(K340="","",IF(K340&gt;0,"На руках",IF(I340&gt;0,IF(H340&gt;0,"Удержан частично","Удержан"),"Возвращён")))</f>
        <v/>
      </c>
      <c r="M340" s="10" t="n"/>
      <c r="N340" s="19">
        <f>IF(K340="","",IF(K340&gt;0,IFERROR(IF(INDEX(Брони!$F$2:$F$500,MATCH(A340,Брони!$A$2:$A$500,0))="Возвращена",TODAY()-INT(INDEX(Брони!$E$2:$E$500,MATCH(A340,Брони!$A$2:$A$500,0))),""),""),""))</f>
        <v/>
      </c>
      <c r="O340" s="19">
        <f>IF(OR(N340="",Настройки!$B$8=""),"",IF(N340&gt;Настройки!$B$8,1,""))</f>
        <v/>
      </c>
    </row>
    <row r="341">
      <c r="A341" s="9" t="n"/>
      <c r="B341" s="12">
        <f>IF(A341="","",IFERROR(INDEX(Брони!$C$2:$C$500,MATCH(A341,Брони!$A$2:$A$500,0)),""))</f>
        <v/>
      </c>
      <c r="C341" s="12">
        <f>IF(A341="","",IFERROR(INDEX(Брони!$B$2:$B$500,MATCH(A341,Брони!$A$2:$A$500,0)),""))</f>
        <v/>
      </c>
      <c r="D341" s="14" t="n"/>
      <c r="E341" s="10" t="n"/>
      <c r="F341" s="18" t="n"/>
      <c r="G341" s="18" t="n"/>
      <c r="H341" s="14" t="n"/>
      <c r="I341" s="14" t="n"/>
      <c r="J341" s="10" t="n"/>
      <c r="K341" s="15">
        <f>IF(OR(A341="",D341=""),"",D341-H341-I341)</f>
        <v/>
      </c>
      <c r="L341" s="12">
        <f>IF(K341="","",IF(K341&gt;0,"На руках",IF(I341&gt;0,IF(H341&gt;0,"Удержан частично","Удержан"),"Возвращён")))</f>
        <v/>
      </c>
      <c r="M341" s="10" t="n"/>
      <c r="N341" s="19">
        <f>IF(K341="","",IF(K341&gt;0,IFERROR(IF(INDEX(Брони!$F$2:$F$500,MATCH(A341,Брони!$A$2:$A$500,0))="Возвращена",TODAY()-INT(INDEX(Брони!$E$2:$E$500,MATCH(A341,Брони!$A$2:$A$500,0))),""),""),""))</f>
        <v/>
      </c>
      <c r="O341" s="19">
        <f>IF(OR(N341="",Настройки!$B$8=""),"",IF(N341&gt;Настройки!$B$8,1,""))</f>
        <v/>
      </c>
    </row>
    <row r="342">
      <c r="A342" s="9" t="n"/>
      <c r="B342" s="12">
        <f>IF(A342="","",IFERROR(INDEX(Брони!$C$2:$C$500,MATCH(A342,Брони!$A$2:$A$500,0)),""))</f>
        <v/>
      </c>
      <c r="C342" s="12">
        <f>IF(A342="","",IFERROR(INDEX(Брони!$B$2:$B$500,MATCH(A342,Брони!$A$2:$A$500,0)),""))</f>
        <v/>
      </c>
      <c r="D342" s="14" t="n"/>
      <c r="E342" s="10" t="n"/>
      <c r="F342" s="18" t="n"/>
      <c r="G342" s="18" t="n"/>
      <c r="H342" s="14" t="n"/>
      <c r="I342" s="14" t="n"/>
      <c r="J342" s="10" t="n"/>
      <c r="K342" s="15">
        <f>IF(OR(A342="",D342=""),"",D342-H342-I342)</f>
        <v/>
      </c>
      <c r="L342" s="12">
        <f>IF(K342="","",IF(K342&gt;0,"На руках",IF(I342&gt;0,IF(H342&gt;0,"Удержан частично","Удержан"),"Возвращён")))</f>
        <v/>
      </c>
      <c r="M342" s="10" t="n"/>
      <c r="N342" s="19">
        <f>IF(K342="","",IF(K342&gt;0,IFERROR(IF(INDEX(Брони!$F$2:$F$500,MATCH(A342,Брони!$A$2:$A$500,0))="Возвращена",TODAY()-INT(INDEX(Брони!$E$2:$E$500,MATCH(A342,Брони!$A$2:$A$500,0))),""),""),""))</f>
        <v/>
      </c>
      <c r="O342" s="19">
        <f>IF(OR(N342="",Настройки!$B$8=""),"",IF(N342&gt;Настройки!$B$8,1,""))</f>
        <v/>
      </c>
    </row>
    <row r="343">
      <c r="A343" s="9" t="n"/>
      <c r="B343" s="12">
        <f>IF(A343="","",IFERROR(INDEX(Брони!$C$2:$C$500,MATCH(A343,Брони!$A$2:$A$500,0)),""))</f>
        <v/>
      </c>
      <c r="C343" s="12">
        <f>IF(A343="","",IFERROR(INDEX(Брони!$B$2:$B$500,MATCH(A343,Брони!$A$2:$A$500,0)),""))</f>
        <v/>
      </c>
      <c r="D343" s="14" t="n"/>
      <c r="E343" s="10" t="n"/>
      <c r="F343" s="18" t="n"/>
      <c r="G343" s="18" t="n"/>
      <c r="H343" s="14" t="n"/>
      <c r="I343" s="14" t="n"/>
      <c r="J343" s="10" t="n"/>
      <c r="K343" s="15">
        <f>IF(OR(A343="",D343=""),"",D343-H343-I343)</f>
        <v/>
      </c>
      <c r="L343" s="12">
        <f>IF(K343="","",IF(K343&gt;0,"На руках",IF(I343&gt;0,IF(H343&gt;0,"Удержан частично","Удержан"),"Возвращён")))</f>
        <v/>
      </c>
      <c r="M343" s="10" t="n"/>
      <c r="N343" s="19">
        <f>IF(K343="","",IF(K343&gt;0,IFERROR(IF(INDEX(Брони!$F$2:$F$500,MATCH(A343,Брони!$A$2:$A$500,0))="Возвращена",TODAY()-INT(INDEX(Брони!$E$2:$E$500,MATCH(A343,Брони!$A$2:$A$500,0))),""),""),""))</f>
        <v/>
      </c>
      <c r="O343" s="19">
        <f>IF(OR(N343="",Настройки!$B$8=""),"",IF(N343&gt;Настройки!$B$8,1,""))</f>
        <v/>
      </c>
    </row>
    <row r="344">
      <c r="A344" s="9" t="n"/>
      <c r="B344" s="12">
        <f>IF(A344="","",IFERROR(INDEX(Брони!$C$2:$C$500,MATCH(A344,Брони!$A$2:$A$500,0)),""))</f>
        <v/>
      </c>
      <c r="C344" s="12">
        <f>IF(A344="","",IFERROR(INDEX(Брони!$B$2:$B$500,MATCH(A344,Брони!$A$2:$A$500,0)),""))</f>
        <v/>
      </c>
      <c r="D344" s="14" t="n"/>
      <c r="E344" s="10" t="n"/>
      <c r="F344" s="18" t="n"/>
      <c r="G344" s="18" t="n"/>
      <c r="H344" s="14" t="n"/>
      <c r="I344" s="14" t="n"/>
      <c r="J344" s="10" t="n"/>
      <c r="K344" s="15">
        <f>IF(OR(A344="",D344=""),"",D344-H344-I344)</f>
        <v/>
      </c>
      <c r="L344" s="12">
        <f>IF(K344="","",IF(K344&gt;0,"На руках",IF(I344&gt;0,IF(H344&gt;0,"Удержан частично","Удержан"),"Возвращён")))</f>
        <v/>
      </c>
      <c r="M344" s="10" t="n"/>
      <c r="N344" s="19">
        <f>IF(K344="","",IF(K344&gt;0,IFERROR(IF(INDEX(Брони!$F$2:$F$500,MATCH(A344,Брони!$A$2:$A$500,0))="Возвращена",TODAY()-INT(INDEX(Брони!$E$2:$E$500,MATCH(A344,Брони!$A$2:$A$500,0))),""),""),""))</f>
        <v/>
      </c>
      <c r="O344" s="19">
        <f>IF(OR(N344="",Настройки!$B$8=""),"",IF(N344&gt;Настройки!$B$8,1,""))</f>
        <v/>
      </c>
    </row>
    <row r="345">
      <c r="A345" s="9" t="n"/>
      <c r="B345" s="12">
        <f>IF(A345="","",IFERROR(INDEX(Брони!$C$2:$C$500,MATCH(A345,Брони!$A$2:$A$500,0)),""))</f>
        <v/>
      </c>
      <c r="C345" s="12">
        <f>IF(A345="","",IFERROR(INDEX(Брони!$B$2:$B$500,MATCH(A345,Брони!$A$2:$A$500,0)),""))</f>
        <v/>
      </c>
      <c r="D345" s="14" t="n"/>
      <c r="E345" s="10" t="n"/>
      <c r="F345" s="18" t="n"/>
      <c r="G345" s="18" t="n"/>
      <c r="H345" s="14" t="n"/>
      <c r="I345" s="14" t="n"/>
      <c r="J345" s="10" t="n"/>
      <c r="K345" s="15">
        <f>IF(OR(A345="",D345=""),"",D345-H345-I345)</f>
        <v/>
      </c>
      <c r="L345" s="12">
        <f>IF(K345="","",IF(K345&gt;0,"На руках",IF(I345&gt;0,IF(H345&gt;0,"Удержан частично","Удержан"),"Возвращён")))</f>
        <v/>
      </c>
      <c r="M345" s="10" t="n"/>
      <c r="N345" s="19">
        <f>IF(K345="","",IF(K345&gt;0,IFERROR(IF(INDEX(Брони!$F$2:$F$500,MATCH(A345,Брони!$A$2:$A$500,0))="Возвращена",TODAY()-INT(INDEX(Брони!$E$2:$E$500,MATCH(A345,Брони!$A$2:$A$500,0))),""),""),""))</f>
        <v/>
      </c>
      <c r="O345" s="19">
        <f>IF(OR(N345="",Настройки!$B$8=""),"",IF(N345&gt;Настройки!$B$8,1,""))</f>
        <v/>
      </c>
    </row>
    <row r="346">
      <c r="A346" s="9" t="n"/>
      <c r="B346" s="12">
        <f>IF(A346="","",IFERROR(INDEX(Брони!$C$2:$C$500,MATCH(A346,Брони!$A$2:$A$500,0)),""))</f>
        <v/>
      </c>
      <c r="C346" s="12">
        <f>IF(A346="","",IFERROR(INDEX(Брони!$B$2:$B$500,MATCH(A346,Брони!$A$2:$A$500,0)),""))</f>
        <v/>
      </c>
      <c r="D346" s="14" t="n"/>
      <c r="E346" s="10" t="n"/>
      <c r="F346" s="18" t="n"/>
      <c r="G346" s="18" t="n"/>
      <c r="H346" s="14" t="n"/>
      <c r="I346" s="14" t="n"/>
      <c r="J346" s="10" t="n"/>
      <c r="K346" s="15">
        <f>IF(OR(A346="",D346=""),"",D346-H346-I346)</f>
        <v/>
      </c>
      <c r="L346" s="12">
        <f>IF(K346="","",IF(K346&gt;0,"На руках",IF(I346&gt;0,IF(H346&gt;0,"Удержан частично","Удержан"),"Возвращён")))</f>
        <v/>
      </c>
      <c r="M346" s="10" t="n"/>
      <c r="N346" s="19">
        <f>IF(K346="","",IF(K346&gt;0,IFERROR(IF(INDEX(Брони!$F$2:$F$500,MATCH(A346,Брони!$A$2:$A$500,0))="Возвращена",TODAY()-INT(INDEX(Брони!$E$2:$E$500,MATCH(A346,Брони!$A$2:$A$500,0))),""),""),""))</f>
        <v/>
      </c>
      <c r="O346" s="19">
        <f>IF(OR(N346="",Настройки!$B$8=""),"",IF(N346&gt;Настройки!$B$8,1,""))</f>
        <v/>
      </c>
    </row>
    <row r="347">
      <c r="A347" s="9" t="n"/>
      <c r="B347" s="12">
        <f>IF(A347="","",IFERROR(INDEX(Брони!$C$2:$C$500,MATCH(A347,Брони!$A$2:$A$500,0)),""))</f>
        <v/>
      </c>
      <c r="C347" s="12">
        <f>IF(A347="","",IFERROR(INDEX(Брони!$B$2:$B$500,MATCH(A347,Брони!$A$2:$A$500,0)),""))</f>
        <v/>
      </c>
      <c r="D347" s="14" t="n"/>
      <c r="E347" s="10" t="n"/>
      <c r="F347" s="18" t="n"/>
      <c r="G347" s="18" t="n"/>
      <c r="H347" s="14" t="n"/>
      <c r="I347" s="14" t="n"/>
      <c r="J347" s="10" t="n"/>
      <c r="K347" s="15">
        <f>IF(OR(A347="",D347=""),"",D347-H347-I347)</f>
        <v/>
      </c>
      <c r="L347" s="12">
        <f>IF(K347="","",IF(K347&gt;0,"На руках",IF(I347&gt;0,IF(H347&gt;0,"Удержан частично","Удержан"),"Возвращён")))</f>
        <v/>
      </c>
      <c r="M347" s="10" t="n"/>
      <c r="N347" s="19">
        <f>IF(K347="","",IF(K347&gt;0,IFERROR(IF(INDEX(Брони!$F$2:$F$500,MATCH(A347,Брони!$A$2:$A$500,0))="Возвращена",TODAY()-INT(INDEX(Брони!$E$2:$E$500,MATCH(A347,Брони!$A$2:$A$500,0))),""),""),""))</f>
        <v/>
      </c>
      <c r="O347" s="19">
        <f>IF(OR(N347="",Настройки!$B$8=""),"",IF(N347&gt;Настройки!$B$8,1,""))</f>
        <v/>
      </c>
    </row>
    <row r="348">
      <c r="A348" s="9" t="n"/>
      <c r="B348" s="12">
        <f>IF(A348="","",IFERROR(INDEX(Брони!$C$2:$C$500,MATCH(A348,Брони!$A$2:$A$500,0)),""))</f>
        <v/>
      </c>
      <c r="C348" s="12">
        <f>IF(A348="","",IFERROR(INDEX(Брони!$B$2:$B$500,MATCH(A348,Брони!$A$2:$A$500,0)),""))</f>
        <v/>
      </c>
      <c r="D348" s="14" t="n"/>
      <c r="E348" s="10" t="n"/>
      <c r="F348" s="18" t="n"/>
      <c r="G348" s="18" t="n"/>
      <c r="H348" s="14" t="n"/>
      <c r="I348" s="14" t="n"/>
      <c r="J348" s="10" t="n"/>
      <c r="K348" s="15">
        <f>IF(OR(A348="",D348=""),"",D348-H348-I348)</f>
        <v/>
      </c>
      <c r="L348" s="12">
        <f>IF(K348="","",IF(K348&gt;0,"На руках",IF(I348&gt;0,IF(H348&gt;0,"Удержан частично","Удержан"),"Возвращён")))</f>
        <v/>
      </c>
      <c r="M348" s="10" t="n"/>
      <c r="N348" s="19">
        <f>IF(K348="","",IF(K348&gt;0,IFERROR(IF(INDEX(Брони!$F$2:$F$500,MATCH(A348,Брони!$A$2:$A$500,0))="Возвращена",TODAY()-INT(INDEX(Брони!$E$2:$E$500,MATCH(A348,Брони!$A$2:$A$500,0))),""),""),""))</f>
        <v/>
      </c>
      <c r="O348" s="19">
        <f>IF(OR(N348="",Настройки!$B$8=""),"",IF(N348&gt;Настройки!$B$8,1,""))</f>
        <v/>
      </c>
    </row>
    <row r="349">
      <c r="A349" s="9" t="n"/>
      <c r="B349" s="12">
        <f>IF(A349="","",IFERROR(INDEX(Брони!$C$2:$C$500,MATCH(A349,Брони!$A$2:$A$500,0)),""))</f>
        <v/>
      </c>
      <c r="C349" s="12">
        <f>IF(A349="","",IFERROR(INDEX(Брони!$B$2:$B$500,MATCH(A349,Брони!$A$2:$A$500,0)),""))</f>
        <v/>
      </c>
      <c r="D349" s="14" t="n"/>
      <c r="E349" s="10" t="n"/>
      <c r="F349" s="18" t="n"/>
      <c r="G349" s="18" t="n"/>
      <c r="H349" s="14" t="n"/>
      <c r="I349" s="14" t="n"/>
      <c r="J349" s="10" t="n"/>
      <c r="K349" s="15">
        <f>IF(OR(A349="",D349=""),"",D349-H349-I349)</f>
        <v/>
      </c>
      <c r="L349" s="12">
        <f>IF(K349="","",IF(K349&gt;0,"На руках",IF(I349&gt;0,IF(H349&gt;0,"Удержан частично","Удержан"),"Возвращён")))</f>
        <v/>
      </c>
      <c r="M349" s="10" t="n"/>
      <c r="N349" s="19">
        <f>IF(K349="","",IF(K349&gt;0,IFERROR(IF(INDEX(Брони!$F$2:$F$500,MATCH(A349,Брони!$A$2:$A$500,0))="Возвращена",TODAY()-INT(INDEX(Брони!$E$2:$E$500,MATCH(A349,Брони!$A$2:$A$500,0))),""),""),""))</f>
        <v/>
      </c>
      <c r="O349" s="19">
        <f>IF(OR(N349="",Настройки!$B$8=""),"",IF(N349&gt;Настройки!$B$8,1,""))</f>
        <v/>
      </c>
    </row>
    <row r="350">
      <c r="A350" s="9" t="n"/>
      <c r="B350" s="12">
        <f>IF(A350="","",IFERROR(INDEX(Брони!$C$2:$C$500,MATCH(A350,Брони!$A$2:$A$500,0)),""))</f>
        <v/>
      </c>
      <c r="C350" s="12">
        <f>IF(A350="","",IFERROR(INDEX(Брони!$B$2:$B$500,MATCH(A350,Брони!$A$2:$A$500,0)),""))</f>
        <v/>
      </c>
      <c r="D350" s="14" t="n"/>
      <c r="E350" s="10" t="n"/>
      <c r="F350" s="18" t="n"/>
      <c r="G350" s="18" t="n"/>
      <c r="H350" s="14" t="n"/>
      <c r="I350" s="14" t="n"/>
      <c r="J350" s="10" t="n"/>
      <c r="K350" s="15">
        <f>IF(OR(A350="",D350=""),"",D350-H350-I350)</f>
        <v/>
      </c>
      <c r="L350" s="12">
        <f>IF(K350="","",IF(K350&gt;0,"На руках",IF(I350&gt;0,IF(H350&gt;0,"Удержан частично","Удержан"),"Возвращён")))</f>
        <v/>
      </c>
      <c r="M350" s="10" t="n"/>
      <c r="N350" s="19">
        <f>IF(K350="","",IF(K350&gt;0,IFERROR(IF(INDEX(Брони!$F$2:$F$500,MATCH(A350,Брони!$A$2:$A$500,0))="Возвращена",TODAY()-INT(INDEX(Брони!$E$2:$E$500,MATCH(A350,Брони!$A$2:$A$500,0))),""),""),""))</f>
        <v/>
      </c>
      <c r="O350" s="19">
        <f>IF(OR(N350="",Настройки!$B$8=""),"",IF(N350&gt;Настройки!$B$8,1,""))</f>
        <v/>
      </c>
    </row>
    <row r="351">
      <c r="A351" s="9" t="n"/>
      <c r="B351" s="12">
        <f>IF(A351="","",IFERROR(INDEX(Брони!$C$2:$C$500,MATCH(A351,Брони!$A$2:$A$500,0)),""))</f>
        <v/>
      </c>
      <c r="C351" s="12">
        <f>IF(A351="","",IFERROR(INDEX(Брони!$B$2:$B$500,MATCH(A351,Брони!$A$2:$A$500,0)),""))</f>
        <v/>
      </c>
      <c r="D351" s="14" t="n"/>
      <c r="E351" s="10" t="n"/>
      <c r="F351" s="18" t="n"/>
      <c r="G351" s="18" t="n"/>
      <c r="H351" s="14" t="n"/>
      <c r="I351" s="14" t="n"/>
      <c r="J351" s="10" t="n"/>
      <c r="K351" s="15">
        <f>IF(OR(A351="",D351=""),"",D351-H351-I351)</f>
        <v/>
      </c>
      <c r="L351" s="12">
        <f>IF(K351="","",IF(K351&gt;0,"На руках",IF(I351&gt;0,IF(H351&gt;0,"Удержан частично","Удержан"),"Возвращён")))</f>
        <v/>
      </c>
      <c r="M351" s="10" t="n"/>
      <c r="N351" s="19">
        <f>IF(K351="","",IF(K351&gt;0,IFERROR(IF(INDEX(Брони!$F$2:$F$500,MATCH(A351,Брони!$A$2:$A$500,0))="Возвращена",TODAY()-INT(INDEX(Брони!$E$2:$E$500,MATCH(A351,Брони!$A$2:$A$500,0))),""),""),""))</f>
        <v/>
      </c>
      <c r="O351" s="19">
        <f>IF(OR(N351="",Настройки!$B$8=""),"",IF(N351&gt;Настройки!$B$8,1,""))</f>
        <v/>
      </c>
    </row>
    <row r="352">
      <c r="A352" s="9" t="n"/>
      <c r="B352" s="12">
        <f>IF(A352="","",IFERROR(INDEX(Брони!$C$2:$C$500,MATCH(A352,Брони!$A$2:$A$500,0)),""))</f>
        <v/>
      </c>
      <c r="C352" s="12">
        <f>IF(A352="","",IFERROR(INDEX(Брони!$B$2:$B$500,MATCH(A352,Брони!$A$2:$A$500,0)),""))</f>
        <v/>
      </c>
      <c r="D352" s="14" t="n"/>
      <c r="E352" s="10" t="n"/>
      <c r="F352" s="18" t="n"/>
      <c r="G352" s="18" t="n"/>
      <c r="H352" s="14" t="n"/>
      <c r="I352" s="14" t="n"/>
      <c r="J352" s="10" t="n"/>
      <c r="K352" s="15">
        <f>IF(OR(A352="",D352=""),"",D352-H352-I352)</f>
        <v/>
      </c>
      <c r="L352" s="12">
        <f>IF(K352="","",IF(K352&gt;0,"На руках",IF(I352&gt;0,IF(H352&gt;0,"Удержан частично","Удержан"),"Возвращён")))</f>
        <v/>
      </c>
      <c r="M352" s="10" t="n"/>
      <c r="N352" s="19">
        <f>IF(K352="","",IF(K352&gt;0,IFERROR(IF(INDEX(Брони!$F$2:$F$500,MATCH(A352,Брони!$A$2:$A$500,0))="Возвращена",TODAY()-INT(INDEX(Брони!$E$2:$E$500,MATCH(A352,Брони!$A$2:$A$500,0))),""),""),""))</f>
        <v/>
      </c>
      <c r="O352" s="19">
        <f>IF(OR(N352="",Настройки!$B$8=""),"",IF(N352&gt;Настройки!$B$8,1,""))</f>
        <v/>
      </c>
    </row>
    <row r="353">
      <c r="A353" s="9" t="n"/>
      <c r="B353" s="12">
        <f>IF(A353="","",IFERROR(INDEX(Брони!$C$2:$C$500,MATCH(A353,Брони!$A$2:$A$500,0)),""))</f>
        <v/>
      </c>
      <c r="C353" s="12">
        <f>IF(A353="","",IFERROR(INDEX(Брони!$B$2:$B$500,MATCH(A353,Брони!$A$2:$A$500,0)),""))</f>
        <v/>
      </c>
      <c r="D353" s="14" t="n"/>
      <c r="E353" s="10" t="n"/>
      <c r="F353" s="18" t="n"/>
      <c r="G353" s="18" t="n"/>
      <c r="H353" s="14" t="n"/>
      <c r="I353" s="14" t="n"/>
      <c r="J353" s="10" t="n"/>
      <c r="K353" s="15">
        <f>IF(OR(A353="",D353=""),"",D353-H353-I353)</f>
        <v/>
      </c>
      <c r="L353" s="12">
        <f>IF(K353="","",IF(K353&gt;0,"На руках",IF(I353&gt;0,IF(H353&gt;0,"Удержан частично","Удержан"),"Возвращён")))</f>
        <v/>
      </c>
      <c r="M353" s="10" t="n"/>
      <c r="N353" s="19">
        <f>IF(K353="","",IF(K353&gt;0,IFERROR(IF(INDEX(Брони!$F$2:$F$500,MATCH(A353,Брони!$A$2:$A$500,0))="Возвращена",TODAY()-INT(INDEX(Брони!$E$2:$E$500,MATCH(A353,Брони!$A$2:$A$500,0))),""),""),""))</f>
        <v/>
      </c>
      <c r="O353" s="19">
        <f>IF(OR(N353="",Настройки!$B$8=""),"",IF(N353&gt;Настройки!$B$8,1,""))</f>
        <v/>
      </c>
    </row>
    <row r="354">
      <c r="A354" s="9" t="n"/>
      <c r="B354" s="12">
        <f>IF(A354="","",IFERROR(INDEX(Брони!$C$2:$C$500,MATCH(A354,Брони!$A$2:$A$500,0)),""))</f>
        <v/>
      </c>
      <c r="C354" s="12">
        <f>IF(A354="","",IFERROR(INDEX(Брони!$B$2:$B$500,MATCH(A354,Брони!$A$2:$A$500,0)),""))</f>
        <v/>
      </c>
      <c r="D354" s="14" t="n"/>
      <c r="E354" s="10" t="n"/>
      <c r="F354" s="18" t="n"/>
      <c r="G354" s="18" t="n"/>
      <c r="H354" s="14" t="n"/>
      <c r="I354" s="14" t="n"/>
      <c r="J354" s="10" t="n"/>
      <c r="K354" s="15">
        <f>IF(OR(A354="",D354=""),"",D354-H354-I354)</f>
        <v/>
      </c>
      <c r="L354" s="12">
        <f>IF(K354="","",IF(K354&gt;0,"На руках",IF(I354&gt;0,IF(H354&gt;0,"Удержан частично","Удержан"),"Возвращён")))</f>
        <v/>
      </c>
      <c r="M354" s="10" t="n"/>
      <c r="N354" s="19">
        <f>IF(K354="","",IF(K354&gt;0,IFERROR(IF(INDEX(Брони!$F$2:$F$500,MATCH(A354,Брони!$A$2:$A$500,0))="Возвращена",TODAY()-INT(INDEX(Брони!$E$2:$E$500,MATCH(A354,Брони!$A$2:$A$500,0))),""),""),""))</f>
        <v/>
      </c>
      <c r="O354" s="19">
        <f>IF(OR(N354="",Настройки!$B$8=""),"",IF(N354&gt;Настройки!$B$8,1,""))</f>
        <v/>
      </c>
    </row>
    <row r="355">
      <c r="A355" s="9" t="n"/>
      <c r="B355" s="12">
        <f>IF(A355="","",IFERROR(INDEX(Брони!$C$2:$C$500,MATCH(A355,Брони!$A$2:$A$500,0)),""))</f>
        <v/>
      </c>
      <c r="C355" s="12">
        <f>IF(A355="","",IFERROR(INDEX(Брони!$B$2:$B$500,MATCH(A355,Брони!$A$2:$A$500,0)),""))</f>
        <v/>
      </c>
      <c r="D355" s="14" t="n"/>
      <c r="E355" s="10" t="n"/>
      <c r="F355" s="18" t="n"/>
      <c r="G355" s="18" t="n"/>
      <c r="H355" s="14" t="n"/>
      <c r="I355" s="14" t="n"/>
      <c r="J355" s="10" t="n"/>
      <c r="K355" s="15">
        <f>IF(OR(A355="",D355=""),"",D355-H355-I355)</f>
        <v/>
      </c>
      <c r="L355" s="12">
        <f>IF(K355="","",IF(K355&gt;0,"На руках",IF(I355&gt;0,IF(H355&gt;0,"Удержан частично","Удержан"),"Возвращён")))</f>
        <v/>
      </c>
      <c r="M355" s="10" t="n"/>
      <c r="N355" s="19">
        <f>IF(K355="","",IF(K355&gt;0,IFERROR(IF(INDEX(Брони!$F$2:$F$500,MATCH(A355,Брони!$A$2:$A$500,0))="Возвращена",TODAY()-INT(INDEX(Брони!$E$2:$E$500,MATCH(A355,Брони!$A$2:$A$500,0))),""),""),""))</f>
        <v/>
      </c>
      <c r="O355" s="19">
        <f>IF(OR(N355="",Настройки!$B$8=""),"",IF(N355&gt;Настройки!$B$8,1,""))</f>
        <v/>
      </c>
    </row>
    <row r="356">
      <c r="A356" s="9" t="n"/>
      <c r="B356" s="12">
        <f>IF(A356="","",IFERROR(INDEX(Брони!$C$2:$C$500,MATCH(A356,Брони!$A$2:$A$500,0)),""))</f>
        <v/>
      </c>
      <c r="C356" s="12">
        <f>IF(A356="","",IFERROR(INDEX(Брони!$B$2:$B$500,MATCH(A356,Брони!$A$2:$A$500,0)),""))</f>
        <v/>
      </c>
      <c r="D356" s="14" t="n"/>
      <c r="E356" s="10" t="n"/>
      <c r="F356" s="18" t="n"/>
      <c r="G356" s="18" t="n"/>
      <c r="H356" s="14" t="n"/>
      <c r="I356" s="14" t="n"/>
      <c r="J356" s="10" t="n"/>
      <c r="K356" s="15">
        <f>IF(OR(A356="",D356=""),"",D356-H356-I356)</f>
        <v/>
      </c>
      <c r="L356" s="12">
        <f>IF(K356="","",IF(K356&gt;0,"На руках",IF(I356&gt;0,IF(H356&gt;0,"Удержан частично","Удержан"),"Возвращён")))</f>
        <v/>
      </c>
      <c r="M356" s="10" t="n"/>
      <c r="N356" s="19">
        <f>IF(K356="","",IF(K356&gt;0,IFERROR(IF(INDEX(Брони!$F$2:$F$500,MATCH(A356,Брони!$A$2:$A$500,0))="Возвращена",TODAY()-INT(INDEX(Брони!$E$2:$E$500,MATCH(A356,Брони!$A$2:$A$500,0))),""),""),""))</f>
        <v/>
      </c>
      <c r="O356" s="19">
        <f>IF(OR(N356="",Настройки!$B$8=""),"",IF(N356&gt;Настройки!$B$8,1,""))</f>
        <v/>
      </c>
    </row>
    <row r="357">
      <c r="A357" s="9" t="n"/>
      <c r="B357" s="12">
        <f>IF(A357="","",IFERROR(INDEX(Брони!$C$2:$C$500,MATCH(A357,Брони!$A$2:$A$500,0)),""))</f>
        <v/>
      </c>
      <c r="C357" s="12">
        <f>IF(A357="","",IFERROR(INDEX(Брони!$B$2:$B$500,MATCH(A357,Брони!$A$2:$A$500,0)),""))</f>
        <v/>
      </c>
      <c r="D357" s="14" t="n"/>
      <c r="E357" s="10" t="n"/>
      <c r="F357" s="18" t="n"/>
      <c r="G357" s="18" t="n"/>
      <c r="H357" s="14" t="n"/>
      <c r="I357" s="14" t="n"/>
      <c r="J357" s="10" t="n"/>
      <c r="K357" s="15">
        <f>IF(OR(A357="",D357=""),"",D357-H357-I357)</f>
        <v/>
      </c>
      <c r="L357" s="12">
        <f>IF(K357="","",IF(K357&gt;0,"На руках",IF(I357&gt;0,IF(H357&gt;0,"Удержан частично","Удержан"),"Возвращён")))</f>
        <v/>
      </c>
      <c r="M357" s="10" t="n"/>
      <c r="N357" s="19">
        <f>IF(K357="","",IF(K357&gt;0,IFERROR(IF(INDEX(Брони!$F$2:$F$500,MATCH(A357,Брони!$A$2:$A$500,0))="Возвращена",TODAY()-INT(INDEX(Брони!$E$2:$E$500,MATCH(A357,Брони!$A$2:$A$500,0))),""),""),""))</f>
        <v/>
      </c>
      <c r="O357" s="19">
        <f>IF(OR(N357="",Настройки!$B$8=""),"",IF(N357&gt;Настройки!$B$8,1,""))</f>
        <v/>
      </c>
    </row>
    <row r="358">
      <c r="A358" s="9" t="n"/>
      <c r="B358" s="12">
        <f>IF(A358="","",IFERROR(INDEX(Брони!$C$2:$C$500,MATCH(A358,Брони!$A$2:$A$500,0)),""))</f>
        <v/>
      </c>
      <c r="C358" s="12">
        <f>IF(A358="","",IFERROR(INDEX(Брони!$B$2:$B$500,MATCH(A358,Брони!$A$2:$A$500,0)),""))</f>
        <v/>
      </c>
      <c r="D358" s="14" t="n"/>
      <c r="E358" s="10" t="n"/>
      <c r="F358" s="18" t="n"/>
      <c r="G358" s="18" t="n"/>
      <c r="H358" s="14" t="n"/>
      <c r="I358" s="14" t="n"/>
      <c r="J358" s="10" t="n"/>
      <c r="K358" s="15">
        <f>IF(OR(A358="",D358=""),"",D358-H358-I358)</f>
        <v/>
      </c>
      <c r="L358" s="12">
        <f>IF(K358="","",IF(K358&gt;0,"На руках",IF(I358&gt;0,IF(H358&gt;0,"Удержан частично","Удержан"),"Возвращён")))</f>
        <v/>
      </c>
      <c r="M358" s="10" t="n"/>
      <c r="N358" s="19">
        <f>IF(K358="","",IF(K358&gt;0,IFERROR(IF(INDEX(Брони!$F$2:$F$500,MATCH(A358,Брони!$A$2:$A$500,0))="Возвращена",TODAY()-INT(INDEX(Брони!$E$2:$E$500,MATCH(A358,Брони!$A$2:$A$500,0))),""),""),""))</f>
        <v/>
      </c>
      <c r="O358" s="19">
        <f>IF(OR(N358="",Настройки!$B$8=""),"",IF(N358&gt;Настройки!$B$8,1,""))</f>
        <v/>
      </c>
    </row>
    <row r="359">
      <c r="A359" s="9" t="n"/>
      <c r="B359" s="12">
        <f>IF(A359="","",IFERROR(INDEX(Брони!$C$2:$C$500,MATCH(A359,Брони!$A$2:$A$500,0)),""))</f>
        <v/>
      </c>
      <c r="C359" s="12">
        <f>IF(A359="","",IFERROR(INDEX(Брони!$B$2:$B$500,MATCH(A359,Брони!$A$2:$A$500,0)),""))</f>
        <v/>
      </c>
      <c r="D359" s="14" t="n"/>
      <c r="E359" s="10" t="n"/>
      <c r="F359" s="18" t="n"/>
      <c r="G359" s="18" t="n"/>
      <c r="H359" s="14" t="n"/>
      <c r="I359" s="14" t="n"/>
      <c r="J359" s="10" t="n"/>
      <c r="K359" s="15">
        <f>IF(OR(A359="",D359=""),"",D359-H359-I359)</f>
        <v/>
      </c>
      <c r="L359" s="12">
        <f>IF(K359="","",IF(K359&gt;0,"На руках",IF(I359&gt;0,IF(H359&gt;0,"Удержан частично","Удержан"),"Возвращён")))</f>
        <v/>
      </c>
      <c r="M359" s="10" t="n"/>
      <c r="N359" s="19">
        <f>IF(K359="","",IF(K359&gt;0,IFERROR(IF(INDEX(Брони!$F$2:$F$500,MATCH(A359,Брони!$A$2:$A$500,0))="Возвращена",TODAY()-INT(INDEX(Брони!$E$2:$E$500,MATCH(A359,Брони!$A$2:$A$500,0))),""),""),""))</f>
        <v/>
      </c>
      <c r="O359" s="19">
        <f>IF(OR(N359="",Настройки!$B$8=""),"",IF(N359&gt;Настройки!$B$8,1,""))</f>
        <v/>
      </c>
    </row>
    <row r="360">
      <c r="A360" s="9" t="n"/>
      <c r="B360" s="12">
        <f>IF(A360="","",IFERROR(INDEX(Брони!$C$2:$C$500,MATCH(A360,Брони!$A$2:$A$500,0)),""))</f>
        <v/>
      </c>
      <c r="C360" s="12">
        <f>IF(A360="","",IFERROR(INDEX(Брони!$B$2:$B$500,MATCH(A360,Брони!$A$2:$A$500,0)),""))</f>
        <v/>
      </c>
      <c r="D360" s="14" t="n"/>
      <c r="E360" s="10" t="n"/>
      <c r="F360" s="18" t="n"/>
      <c r="G360" s="18" t="n"/>
      <c r="H360" s="14" t="n"/>
      <c r="I360" s="14" t="n"/>
      <c r="J360" s="10" t="n"/>
      <c r="K360" s="15">
        <f>IF(OR(A360="",D360=""),"",D360-H360-I360)</f>
        <v/>
      </c>
      <c r="L360" s="12">
        <f>IF(K360="","",IF(K360&gt;0,"На руках",IF(I360&gt;0,IF(H360&gt;0,"Удержан частично","Удержан"),"Возвращён")))</f>
        <v/>
      </c>
      <c r="M360" s="10" t="n"/>
      <c r="N360" s="19">
        <f>IF(K360="","",IF(K360&gt;0,IFERROR(IF(INDEX(Брони!$F$2:$F$500,MATCH(A360,Брони!$A$2:$A$500,0))="Возвращена",TODAY()-INT(INDEX(Брони!$E$2:$E$500,MATCH(A360,Брони!$A$2:$A$500,0))),""),""),""))</f>
        <v/>
      </c>
      <c r="O360" s="19">
        <f>IF(OR(N360="",Настройки!$B$8=""),"",IF(N360&gt;Настройки!$B$8,1,""))</f>
        <v/>
      </c>
    </row>
    <row r="361">
      <c r="A361" s="9" t="n"/>
      <c r="B361" s="12">
        <f>IF(A361="","",IFERROR(INDEX(Брони!$C$2:$C$500,MATCH(A361,Брони!$A$2:$A$500,0)),""))</f>
        <v/>
      </c>
      <c r="C361" s="12">
        <f>IF(A361="","",IFERROR(INDEX(Брони!$B$2:$B$500,MATCH(A361,Брони!$A$2:$A$500,0)),""))</f>
        <v/>
      </c>
      <c r="D361" s="14" t="n"/>
      <c r="E361" s="10" t="n"/>
      <c r="F361" s="18" t="n"/>
      <c r="G361" s="18" t="n"/>
      <c r="H361" s="14" t="n"/>
      <c r="I361" s="14" t="n"/>
      <c r="J361" s="10" t="n"/>
      <c r="K361" s="15">
        <f>IF(OR(A361="",D361=""),"",D361-H361-I361)</f>
        <v/>
      </c>
      <c r="L361" s="12">
        <f>IF(K361="","",IF(K361&gt;0,"На руках",IF(I361&gt;0,IF(H361&gt;0,"Удержан частично","Удержан"),"Возвращён")))</f>
        <v/>
      </c>
      <c r="M361" s="10" t="n"/>
      <c r="N361" s="19">
        <f>IF(K361="","",IF(K361&gt;0,IFERROR(IF(INDEX(Брони!$F$2:$F$500,MATCH(A361,Брони!$A$2:$A$500,0))="Возвращена",TODAY()-INT(INDEX(Брони!$E$2:$E$500,MATCH(A361,Брони!$A$2:$A$500,0))),""),""),""))</f>
        <v/>
      </c>
      <c r="O361" s="19">
        <f>IF(OR(N361="",Настройки!$B$8=""),"",IF(N361&gt;Настройки!$B$8,1,""))</f>
        <v/>
      </c>
    </row>
    <row r="362">
      <c r="A362" s="9" t="n"/>
      <c r="B362" s="12">
        <f>IF(A362="","",IFERROR(INDEX(Брони!$C$2:$C$500,MATCH(A362,Брони!$A$2:$A$500,0)),""))</f>
        <v/>
      </c>
      <c r="C362" s="12">
        <f>IF(A362="","",IFERROR(INDEX(Брони!$B$2:$B$500,MATCH(A362,Брони!$A$2:$A$500,0)),""))</f>
        <v/>
      </c>
      <c r="D362" s="14" t="n"/>
      <c r="E362" s="10" t="n"/>
      <c r="F362" s="18" t="n"/>
      <c r="G362" s="18" t="n"/>
      <c r="H362" s="14" t="n"/>
      <c r="I362" s="14" t="n"/>
      <c r="J362" s="10" t="n"/>
      <c r="K362" s="15">
        <f>IF(OR(A362="",D362=""),"",D362-H362-I362)</f>
        <v/>
      </c>
      <c r="L362" s="12">
        <f>IF(K362="","",IF(K362&gt;0,"На руках",IF(I362&gt;0,IF(H362&gt;0,"Удержан частично","Удержан"),"Возвращён")))</f>
        <v/>
      </c>
      <c r="M362" s="10" t="n"/>
      <c r="N362" s="19">
        <f>IF(K362="","",IF(K362&gt;0,IFERROR(IF(INDEX(Брони!$F$2:$F$500,MATCH(A362,Брони!$A$2:$A$500,0))="Возвращена",TODAY()-INT(INDEX(Брони!$E$2:$E$500,MATCH(A362,Брони!$A$2:$A$500,0))),""),""),""))</f>
        <v/>
      </c>
      <c r="O362" s="19">
        <f>IF(OR(N362="",Настройки!$B$8=""),"",IF(N362&gt;Настройки!$B$8,1,""))</f>
        <v/>
      </c>
    </row>
    <row r="363">
      <c r="A363" s="9" t="n"/>
      <c r="B363" s="12">
        <f>IF(A363="","",IFERROR(INDEX(Брони!$C$2:$C$500,MATCH(A363,Брони!$A$2:$A$500,0)),""))</f>
        <v/>
      </c>
      <c r="C363" s="12">
        <f>IF(A363="","",IFERROR(INDEX(Брони!$B$2:$B$500,MATCH(A363,Брони!$A$2:$A$500,0)),""))</f>
        <v/>
      </c>
      <c r="D363" s="14" t="n"/>
      <c r="E363" s="10" t="n"/>
      <c r="F363" s="18" t="n"/>
      <c r="G363" s="18" t="n"/>
      <c r="H363" s="14" t="n"/>
      <c r="I363" s="14" t="n"/>
      <c r="J363" s="10" t="n"/>
      <c r="K363" s="15">
        <f>IF(OR(A363="",D363=""),"",D363-H363-I363)</f>
        <v/>
      </c>
      <c r="L363" s="12">
        <f>IF(K363="","",IF(K363&gt;0,"На руках",IF(I363&gt;0,IF(H363&gt;0,"Удержан частично","Удержан"),"Возвращён")))</f>
        <v/>
      </c>
      <c r="M363" s="10" t="n"/>
      <c r="N363" s="19">
        <f>IF(K363="","",IF(K363&gt;0,IFERROR(IF(INDEX(Брони!$F$2:$F$500,MATCH(A363,Брони!$A$2:$A$500,0))="Возвращена",TODAY()-INT(INDEX(Брони!$E$2:$E$500,MATCH(A363,Брони!$A$2:$A$500,0))),""),""),""))</f>
        <v/>
      </c>
      <c r="O363" s="19">
        <f>IF(OR(N363="",Настройки!$B$8=""),"",IF(N363&gt;Настройки!$B$8,1,""))</f>
        <v/>
      </c>
    </row>
    <row r="364">
      <c r="A364" s="9" t="n"/>
      <c r="B364" s="12">
        <f>IF(A364="","",IFERROR(INDEX(Брони!$C$2:$C$500,MATCH(A364,Брони!$A$2:$A$500,0)),""))</f>
        <v/>
      </c>
      <c r="C364" s="12">
        <f>IF(A364="","",IFERROR(INDEX(Брони!$B$2:$B$500,MATCH(A364,Брони!$A$2:$A$500,0)),""))</f>
        <v/>
      </c>
      <c r="D364" s="14" t="n"/>
      <c r="E364" s="10" t="n"/>
      <c r="F364" s="18" t="n"/>
      <c r="G364" s="18" t="n"/>
      <c r="H364" s="14" t="n"/>
      <c r="I364" s="14" t="n"/>
      <c r="J364" s="10" t="n"/>
      <c r="K364" s="15">
        <f>IF(OR(A364="",D364=""),"",D364-H364-I364)</f>
        <v/>
      </c>
      <c r="L364" s="12">
        <f>IF(K364="","",IF(K364&gt;0,"На руках",IF(I364&gt;0,IF(H364&gt;0,"Удержан частично","Удержан"),"Возвращён")))</f>
        <v/>
      </c>
      <c r="M364" s="10" t="n"/>
      <c r="N364" s="19">
        <f>IF(K364="","",IF(K364&gt;0,IFERROR(IF(INDEX(Брони!$F$2:$F$500,MATCH(A364,Брони!$A$2:$A$500,0))="Возвращена",TODAY()-INT(INDEX(Брони!$E$2:$E$500,MATCH(A364,Брони!$A$2:$A$500,0))),""),""),""))</f>
        <v/>
      </c>
      <c r="O364" s="19">
        <f>IF(OR(N364="",Настройки!$B$8=""),"",IF(N364&gt;Настройки!$B$8,1,""))</f>
        <v/>
      </c>
    </row>
    <row r="365">
      <c r="A365" s="9" t="n"/>
      <c r="B365" s="12">
        <f>IF(A365="","",IFERROR(INDEX(Брони!$C$2:$C$500,MATCH(A365,Брони!$A$2:$A$500,0)),""))</f>
        <v/>
      </c>
      <c r="C365" s="12">
        <f>IF(A365="","",IFERROR(INDEX(Брони!$B$2:$B$500,MATCH(A365,Брони!$A$2:$A$500,0)),""))</f>
        <v/>
      </c>
      <c r="D365" s="14" t="n"/>
      <c r="E365" s="10" t="n"/>
      <c r="F365" s="18" t="n"/>
      <c r="G365" s="18" t="n"/>
      <c r="H365" s="14" t="n"/>
      <c r="I365" s="14" t="n"/>
      <c r="J365" s="10" t="n"/>
      <c r="K365" s="15">
        <f>IF(OR(A365="",D365=""),"",D365-H365-I365)</f>
        <v/>
      </c>
      <c r="L365" s="12">
        <f>IF(K365="","",IF(K365&gt;0,"На руках",IF(I365&gt;0,IF(H365&gt;0,"Удержан частично","Удержан"),"Возвращён")))</f>
        <v/>
      </c>
      <c r="M365" s="10" t="n"/>
      <c r="N365" s="19">
        <f>IF(K365="","",IF(K365&gt;0,IFERROR(IF(INDEX(Брони!$F$2:$F$500,MATCH(A365,Брони!$A$2:$A$500,0))="Возвращена",TODAY()-INT(INDEX(Брони!$E$2:$E$500,MATCH(A365,Брони!$A$2:$A$500,0))),""),""),""))</f>
        <v/>
      </c>
      <c r="O365" s="19">
        <f>IF(OR(N365="",Настройки!$B$8=""),"",IF(N365&gt;Настройки!$B$8,1,""))</f>
        <v/>
      </c>
    </row>
    <row r="366">
      <c r="A366" s="9" t="n"/>
      <c r="B366" s="12">
        <f>IF(A366="","",IFERROR(INDEX(Брони!$C$2:$C$500,MATCH(A366,Брони!$A$2:$A$500,0)),""))</f>
        <v/>
      </c>
      <c r="C366" s="12">
        <f>IF(A366="","",IFERROR(INDEX(Брони!$B$2:$B$500,MATCH(A366,Брони!$A$2:$A$500,0)),""))</f>
        <v/>
      </c>
      <c r="D366" s="14" t="n"/>
      <c r="E366" s="10" t="n"/>
      <c r="F366" s="18" t="n"/>
      <c r="G366" s="18" t="n"/>
      <c r="H366" s="14" t="n"/>
      <c r="I366" s="14" t="n"/>
      <c r="J366" s="10" t="n"/>
      <c r="K366" s="15">
        <f>IF(OR(A366="",D366=""),"",D366-H366-I366)</f>
        <v/>
      </c>
      <c r="L366" s="12">
        <f>IF(K366="","",IF(K366&gt;0,"На руках",IF(I366&gt;0,IF(H366&gt;0,"Удержан частично","Удержан"),"Возвращён")))</f>
        <v/>
      </c>
      <c r="M366" s="10" t="n"/>
      <c r="N366" s="19">
        <f>IF(K366="","",IF(K366&gt;0,IFERROR(IF(INDEX(Брони!$F$2:$F$500,MATCH(A366,Брони!$A$2:$A$500,0))="Возвращена",TODAY()-INT(INDEX(Брони!$E$2:$E$500,MATCH(A366,Брони!$A$2:$A$500,0))),""),""),""))</f>
        <v/>
      </c>
      <c r="O366" s="19">
        <f>IF(OR(N366="",Настройки!$B$8=""),"",IF(N366&gt;Настройки!$B$8,1,""))</f>
        <v/>
      </c>
    </row>
    <row r="367">
      <c r="A367" s="9" t="n"/>
      <c r="B367" s="12">
        <f>IF(A367="","",IFERROR(INDEX(Брони!$C$2:$C$500,MATCH(A367,Брони!$A$2:$A$500,0)),""))</f>
        <v/>
      </c>
      <c r="C367" s="12">
        <f>IF(A367="","",IFERROR(INDEX(Брони!$B$2:$B$500,MATCH(A367,Брони!$A$2:$A$500,0)),""))</f>
        <v/>
      </c>
      <c r="D367" s="14" t="n"/>
      <c r="E367" s="10" t="n"/>
      <c r="F367" s="18" t="n"/>
      <c r="G367" s="18" t="n"/>
      <c r="H367" s="14" t="n"/>
      <c r="I367" s="14" t="n"/>
      <c r="J367" s="10" t="n"/>
      <c r="K367" s="15">
        <f>IF(OR(A367="",D367=""),"",D367-H367-I367)</f>
        <v/>
      </c>
      <c r="L367" s="12">
        <f>IF(K367="","",IF(K367&gt;0,"На руках",IF(I367&gt;0,IF(H367&gt;0,"Удержан частично","Удержан"),"Возвращён")))</f>
        <v/>
      </c>
      <c r="M367" s="10" t="n"/>
      <c r="N367" s="19">
        <f>IF(K367="","",IF(K367&gt;0,IFERROR(IF(INDEX(Брони!$F$2:$F$500,MATCH(A367,Брони!$A$2:$A$500,0))="Возвращена",TODAY()-INT(INDEX(Брони!$E$2:$E$500,MATCH(A367,Брони!$A$2:$A$500,0))),""),""),""))</f>
        <v/>
      </c>
      <c r="O367" s="19">
        <f>IF(OR(N367="",Настройки!$B$8=""),"",IF(N367&gt;Настройки!$B$8,1,""))</f>
        <v/>
      </c>
    </row>
    <row r="368">
      <c r="A368" s="9" t="n"/>
      <c r="B368" s="12">
        <f>IF(A368="","",IFERROR(INDEX(Брони!$C$2:$C$500,MATCH(A368,Брони!$A$2:$A$500,0)),""))</f>
        <v/>
      </c>
      <c r="C368" s="12">
        <f>IF(A368="","",IFERROR(INDEX(Брони!$B$2:$B$500,MATCH(A368,Брони!$A$2:$A$500,0)),""))</f>
        <v/>
      </c>
      <c r="D368" s="14" t="n"/>
      <c r="E368" s="10" t="n"/>
      <c r="F368" s="18" t="n"/>
      <c r="G368" s="18" t="n"/>
      <c r="H368" s="14" t="n"/>
      <c r="I368" s="14" t="n"/>
      <c r="J368" s="10" t="n"/>
      <c r="K368" s="15">
        <f>IF(OR(A368="",D368=""),"",D368-H368-I368)</f>
        <v/>
      </c>
      <c r="L368" s="12">
        <f>IF(K368="","",IF(K368&gt;0,"На руках",IF(I368&gt;0,IF(H368&gt;0,"Удержан частично","Удержан"),"Возвращён")))</f>
        <v/>
      </c>
      <c r="M368" s="10" t="n"/>
      <c r="N368" s="19">
        <f>IF(K368="","",IF(K368&gt;0,IFERROR(IF(INDEX(Брони!$F$2:$F$500,MATCH(A368,Брони!$A$2:$A$500,0))="Возвращена",TODAY()-INT(INDEX(Брони!$E$2:$E$500,MATCH(A368,Брони!$A$2:$A$500,0))),""),""),""))</f>
        <v/>
      </c>
      <c r="O368" s="19">
        <f>IF(OR(N368="",Настройки!$B$8=""),"",IF(N368&gt;Настройки!$B$8,1,""))</f>
        <v/>
      </c>
    </row>
    <row r="369">
      <c r="A369" s="9" t="n"/>
      <c r="B369" s="12">
        <f>IF(A369="","",IFERROR(INDEX(Брони!$C$2:$C$500,MATCH(A369,Брони!$A$2:$A$500,0)),""))</f>
        <v/>
      </c>
      <c r="C369" s="12">
        <f>IF(A369="","",IFERROR(INDEX(Брони!$B$2:$B$500,MATCH(A369,Брони!$A$2:$A$500,0)),""))</f>
        <v/>
      </c>
      <c r="D369" s="14" t="n"/>
      <c r="E369" s="10" t="n"/>
      <c r="F369" s="18" t="n"/>
      <c r="G369" s="18" t="n"/>
      <c r="H369" s="14" t="n"/>
      <c r="I369" s="14" t="n"/>
      <c r="J369" s="10" t="n"/>
      <c r="K369" s="15">
        <f>IF(OR(A369="",D369=""),"",D369-H369-I369)</f>
        <v/>
      </c>
      <c r="L369" s="12">
        <f>IF(K369="","",IF(K369&gt;0,"На руках",IF(I369&gt;0,IF(H369&gt;0,"Удержан частично","Удержан"),"Возвращён")))</f>
        <v/>
      </c>
      <c r="M369" s="10" t="n"/>
      <c r="N369" s="19">
        <f>IF(K369="","",IF(K369&gt;0,IFERROR(IF(INDEX(Брони!$F$2:$F$500,MATCH(A369,Брони!$A$2:$A$500,0))="Возвращена",TODAY()-INT(INDEX(Брони!$E$2:$E$500,MATCH(A369,Брони!$A$2:$A$500,0))),""),""),""))</f>
        <v/>
      </c>
      <c r="O369" s="19">
        <f>IF(OR(N369="",Настройки!$B$8=""),"",IF(N369&gt;Настройки!$B$8,1,""))</f>
        <v/>
      </c>
    </row>
    <row r="370">
      <c r="A370" s="9" t="n"/>
      <c r="B370" s="12">
        <f>IF(A370="","",IFERROR(INDEX(Брони!$C$2:$C$500,MATCH(A370,Брони!$A$2:$A$500,0)),""))</f>
        <v/>
      </c>
      <c r="C370" s="12">
        <f>IF(A370="","",IFERROR(INDEX(Брони!$B$2:$B$500,MATCH(A370,Брони!$A$2:$A$500,0)),""))</f>
        <v/>
      </c>
      <c r="D370" s="14" t="n"/>
      <c r="E370" s="10" t="n"/>
      <c r="F370" s="18" t="n"/>
      <c r="G370" s="18" t="n"/>
      <c r="H370" s="14" t="n"/>
      <c r="I370" s="14" t="n"/>
      <c r="J370" s="10" t="n"/>
      <c r="K370" s="15">
        <f>IF(OR(A370="",D370=""),"",D370-H370-I370)</f>
        <v/>
      </c>
      <c r="L370" s="12">
        <f>IF(K370="","",IF(K370&gt;0,"На руках",IF(I370&gt;0,IF(H370&gt;0,"Удержан частично","Удержан"),"Возвращён")))</f>
        <v/>
      </c>
      <c r="M370" s="10" t="n"/>
      <c r="N370" s="19">
        <f>IF(K370="","",IF(K370&gt;0,IFERROR(IF(INDEX(Брони!$F$2:$F$500,MATCH(A370,Брони!$A$2:$A$500,0))="Возвращена",TODAY()-INT(INDEX(Брони!$E$2:$E$500,MATCH(A370,Брони!$A$2:$A$500,0))),""),""),""))</f>
        <v/>
      </c>
      <c r="O370" s="19">
        <f>IF(OR(N370="",Настройки!$B$8=""),"",IF(N370&gt;Настройки!$B$8,1,""))</f>
        <v/>
      </c>
    </row>
    <row r="371">
      <c r="A371" s="9" t="n"/>
      <c r="B371" s="12">
        <f>IF(A371="","",IFERROR(INDEX(Брони!$C$2:$C$500,MATCH(A371,Брони!$A$2:$A$500,0)),""))</f>
        <v/>
      </c>
      <c r="C371" s="12">
        <f>IF(A371="","",IFERROR(INDEX(Брони!$B$2:$B$500,MATCH(A371,Брони!$A$2:$A$500,0)),""))</f>
        <v/>
      </c>
      <c r="D371" s="14" t="n"/>
      <c r="E371" s="10" t="n"/>
      <c r="F371" s="18" t="n"/>
      <c r="G371" s="18" t="n"/>
      <c r="H371" s="14" t="n"/>
      <c r="I371" s="14" t="n"/>
      <c r="J371" s="10" t="n"/>
      <c r="K371" s="15">
        <f>IF(OR(A371="",D371=""),"",D371-H371-I371)</f>
        <v/>
      </c>
      <c r="L371" s="12">
        <f>IF(K371="","",IF(K371&gt;0,"На руках",IF(I371&gt;0,IF(H371&gt;0,"Удержан частично","Удержан"),"Возвращён")))</f>
        <v/>
      </c>
      <c r="M371" s="10" t="n"/>
      <c r="N371" s="19">
        <f>IF(K371="","",IF(K371&gt;0,IFERROR(IF(INDEX(Брони!$F$2:$F$500,MATCH(A371,Брони!$A$2:$A$500,0))="Возвращена",TODAY()-INT(INDEX(Брони!$E$2:$E$500,MATCH(A371,Брони!$A$2:$A$500,0))),""),""),""))</f>
        <v/>
      </c>
      <c r="O371" s="19">
        <f>IF(OR(N371="",Настройки!$B$8=""),"",IF(N371&gt;Настройки!$B$8,1,""))</f>
        <v/>
      </c>
    </row>
    <row r="372">
      <c r="A372" s="9" t="n"/>
      <c r="B372" s="12">
        <f>IF(A372="","",IFERROR(INDEX(Брони!$C$2:$C$500,MATCH(A372,Брони!$A$2:$A$500,0)),""))</f>
        <v/>
      </c>
      <c r="C372" s="12">
        <f>IF(A372="","",IFERROR(INDEX(Брони!$B$2:$B$500,MATCH(A372,Брони!$A$2:$A$500,0)),""))</f>
        <v/>
      </c>
      <c r="D372" s="14" t="n"/>
      <c r="E372" s="10" t="n"/>
      <c r="F372" s="18" t="n"/>
      <c r="G372" s="18" t="n"/>
      <c r="H372" s="14" t="n"/>
      <c r="I372" s="14" t="n"/>
      <c r="J372" s="10" t="n"/>
      <c r="K372" s="15">
        <f>IF(OR(A372="",D372=""),"",D372-H372-I372)</f>
        <v/>
      </c>
      <c r="L372" s="12">
        <f>IF(K372="","",IF(K372&gt;0,"На руках",IF(I372&gt;0,IF(H372&gt;0,"Удержан частично","Удержан"),"Возвращён")))</f>
        <v/>
      </c>
      <c r="M372" s="10" t="n"/>
      <c r="N372" s="19">
        <f>IF(K372="","",IF(K372&gt;0,IFERROR(IF(INDEX(Брони!$F$2:$F$500,MATCH(A372,Брони!$A$2:$A$500,0))="Возвращена",TODAY()-INT(INDEX(Брони!$E$2:$E$500,MATCH(A372,Брони!$A$2:$A$500,0))),""),""),""))</f>
        <v/>
      </c>
      <c r="O372" s="19">
        <f>IF(OR(N372="",Настройки!$B$8=""),"",IF(N372&gt;Настройки!$B$8,1,""))</f>
        <v/>
      </c>
    </row>
    <row r="373">
      <c r="A373" s="9" t="n"/>
      <c r="B373" s="12">
        <f>IF(A373="","",IFERROR(INDEX(Брони!$C$2:$C$500,MATCH(A373,Брони!$A$2:$A$500,0)),""))</f>
        <v/>
      </c>
      <c r="C373" s="12">
        <f>IF(A373="","",IFERROR(INDEX(Брони!$B$2:$B$500,MATCH(A373,Брони!$A$2:$A$500,0)),""))</f>
        <v/>
      </c>
      <c r="D373" s="14" t="n"/>
      <c r="E373" s="10" t="n"/>
      <c r="F373" s="18" t="n"/>
      <c r="G373" s="18" t="n"/>
      <c r="H373" s="14" t="n"/>
      <c r="I373" s="14" t="n"/>
      <c r="J373" s="10" t="n"/>
      <c r="K373" s="15">
        <f>IF(OR(A373="",D373=""),"",D373-H373-I373)</f>
        <v/>
      </c>
      <c r="L373" s="12">
        <f>IF(K373="","",IF(K373&gt;0,"На руках",IF(I373&gt;0,IF(H373&gt;0,"Удержан частично","Удержан"),"Возвращён")))</f>
        <v/>
      </c>
      <c r="M373" s="10" t="n"/>
      <c r="N373" s="19">
        <f>IF(K373="","",IF(K373&gt;0,IFERROR(IF(INDEX(Брони!$F$2:$F$500,MATCH(A373,Брони!$A$2:$A$500,0))="Возвращена",TODAY()-INT(INDEX(Брони!$E$2:$E$500,MATCH(A373,Брони!$A$2:$A$500,0))),""),""),""))</f>
        <v/>
      </c>
      <c r="O373" s="19">
        <f>IF(OR(N373="",Настройки!$B$8=""),"",IF(N373&gt;Настройки!$B$8,1,""))</f>
        <v/>
      </c>
    </row>
    <row r="374">
      <c r="A374" s="9" t="n"/>
      <c r="B374" s="12">
        <f>IF(A374="","",IFERROR(INDEX(Брони!$C$2:$C$500,MATCH(A374,Брони!$A$2:$A$500,0)),""))</f>
        <v/>
      </c>
      <c r="C374" s="12">
        <f>IF(A374="","",IFERROR(INDEX(Брони!$B$2:$B$500,MATCH(A374,Брони!$A$2:$A$500,0)),""))</f>
        <v/>
      </c>
      <c r="D374" s="14" t="n"/>
      <c r="E374" s="10" t="n"/>
      <c r="F374" s="18" t="n"/>
      <c r="G374" s="18" t="n"/>
      <c r="H374" s="14" t="n"/>
      <c r="I374" s="14" t="n"/>
      <c r="J374" s="10" t="n"/>
      <c r="K374" s="15">
        <f>IF(OR(A374="",D374=""),"",D374-H374-I374)</f>
        <v/>
      </c>
      <c r="L374" s="12">
        <f>IF(K374="","",IF(K374&gt;0,"На руках",IF(I374&gt;0,IF(H374&gt;0,"Удержан частично","Удержан"),"Возвращён")))</f>
        <v/>
      </c>
      <c r="M374" s="10" t="n"/>
      <c r="N374" s="19">
        <f>IF(K374="","",IF(K374&gt;0,IFERROR(IF(INDEX(Брони!$F$2:$F$500,MATCH(A374,Брони!$A$2:$A$500,0))="Возвращена",TODAY()-INT(INDEX(Брони!$E$2:$E$500,MATCH(A374,Брони!$A$2:$A$500,0))),""),""),""))</f>
        <v/>
      </c>
      <c r="O374" s="19">
        <f>IF(OR(N374="",Настройки!$B$8=""),"",IF(N374&gt;Настройки!$B$8,1,""))</f>
        <v/>
      </c>
    </row>
    <row r="375">
      <c r="A375" s="9" t="n"/>
      <c r="B375" s="12">
        <f>IF(A375="","",IFERROR(INDEX(Брони!$C$2:$C$500,MATCH(A375,Брони!$A$2:$A$500,0)),""))</f>
        <v/>
      </c>
      <c r="C375" s="12">
        <f>IF(A375="","",IFERROR(INDEX(Брони!$B$2:$B$500,MATCH(A375,Брони!$A$2:$A$500,0)),""))</f>
        <v/>
      </c>
      <c r="D375" s="14" t="n"/>
      <c r="E375" s="10" t="n"/>
      <c r="F375" s="18" t="n"/>
      <c r="G375" s="18" t="n"/>
      <c r="H375" s="14" t="n"/>
      <c r="I375" s="14" t="n"/>
      <c r="J375" s="10" t="n"/>
      <c r="K375" s="15">
        <f>IF(OR(A375="",D375=""),"",D375-H375-I375)</f>
        <v/>
      </c>
      <c r="L375" s="12">
        <f>IF(K375="","",IF(K375&gt;0,"На руках",IF(I375&gt;0,IF(H375&gt;0,"Удержан частично","Удержан"),"Возвращён")))</f>
        <v/>
      </c>
      <c r="M375" s="10" t="n"/>
      <c r="N375" s="19">
        <f>IF(K375="","",IF(K375&gt;0,IFERROR(IF(INDEX(Брони!$F$2:$F$500,MATCH(A375,Брони!$A$2:$A$500,0))="Возвращена",TODAY()-INT(INDEX(Брони!$E$2:$E$500,MATCH(A375,Брони!$A$2:$A$500,0))),""),""),""))</f>
        <v/>
      </c>
      <c r="O375" s="19">
        <f>IF(OR(N375="",Настройки!$B$8=""),"",IF(N375&gt;Настройки!$B$8,1,""))</f>
        <v/>
      </c>
    </row>
    <row r="376">
      <c r="A376" s="9" t="n"/>
      <c r="B376" s="12">
        <f>IF(A376="","",IFERROR(INDEX(Брони!$C$2:$C$500,MATCH(A376,Брони!$A$2:$A$500,0)),""))</f>
        <v/>
      </c>
      <c r="C376" s="12">
        <f>IF(A376="","",IFERROR(INDEX(Брони!$B$2:$B$500,MATCH(A376,Брони!$A$2:$A$500,0)),""))</f>
        <v/>
      </c>
      <c r="D376" s="14" t="n"/>
      <c r="E376" s="10" t="n"/>
      <c r="F376" s="18" t="n"/>
      <c r="G376" s="18" t="n"/>
      <c r="H376" s="14" t="n"/>
      <c r="I376" s="14" t="n"/>
      <c r="J376" s="10" t="n"/>
      <c r="K376" s="15">
        <f>IF(OR(A376="",D376=""),"",D376-H376-I376)</f>
        <v/>
      </c>
      <c r="L376" s="12">
        <f>IF(K376="","",IF(K376&gt;0,"На руках",IF(I376&gt;0,IF(H376&gt;0,"Удержан частично","Удержан"),"Возвращён")))</f>
        <v/>
      </c>
      <c r="M376" s="10" t="n"/>
      <c r="N376" s="19">
        <f>IF(K376="","",IF(K376&gt;0,IFERROR(IF(INDEX(Брони!$F$2:$F$500,MATCH(A376,Брони!$A$2:$A$500,0))="Возвращена",TODAY()-INT(INDEX(Брони!$E$2:$E$500,MATCH(A376,Брони!$A$2:$A$500,0))),""),""),""))</f>
        <v/>
      </c>
      <c r="O376" s="19">
        <f>IF(OR(N376="",Настройки!$B$8=""),"",IF(N376&gt;Настройки!$B$8,1,""))</f>
        <v/>
      </c>
    </row>
    <row r="377">
      <c r="A377" s="9" t="n"/>
      <c r="B377" s="12">
        <f>IF(A377="","",IFERROR(INDEX(Брони!$C$2:$C$500,MATCH(A377,Брони!$A$2:$A$500,0)),""))</f>
        <v/>
      </c>
      <c r="C377" s="12">
        <f>IF(A377="","",IFERROR(INDEX(Брони!$B$2:$B$500,MATCH(A377,Брони!$A$2:$A$500,0)),""))</f>
        <v/>
      </c>
      <c r="D377" s="14" t="n"/>
      <c r="E377" s="10" t="n"/>
      <c r="F377" s="18" t="n"/>
      <c r="G377" s="18" t="n"/>
      <c r="H377" s="14" t="n"/>
      <c r="I377" s="14" t="n"/>
      <c r="J377" s="10" t="n"/>
      <c r="K377" s="15">
        <f>IF(OR(A377="",D377=""),"",D377-H377-I377)</f>
        <v/>
      </c>
      <c r="L377" s="12">
        <f>IF(K377="","",IF(K377&gt;0,"На руках",IF(I377&gt;0,IF(H377&gt;0,"Удержан частично","Удержан"),"Возвращён")))</f>
        <v/>
      </c>
      <c r="M377" s="10" t="n"/>
      <c r="N377" s="19">
        <f>IF(K377="","",IF(K377&gt;0,IFERROR(IF(INDEX(Брони!$F$2:$F$500,MATCH(A377,Брони!$A$2:$A$500,0))="Возвращена",TODAY()-INT(INDEX(Брони!$E$2:$E$500,MATCH(A377,Брони!$A$2:$A$500,0))),""),""),""))</f>
        <v/>
      </c>
      <c r="O377" s="19">
        <f>IF(OR(N377="",Настройки!$B$8=""),"",IF(N377&gt;Настройки!$B$8,1,""))</f>
        <v/>
      </c>
    </row>
    <row r="378">
      <c r="A378" s="9" t="n"/>
      <c r="B378" s="12">
        <f>IF(A378="","",IFERROR(INDEX(Брони!$C$2:$C$500,MATCH(A378,Брони!$A$2:$A$500,0)),""))</f>
        <v/>
      </c>
      <c r="C378" s="12">
        <f>IF(A378="","",IFERROR(INDEX(Брони!$B$2:$B$500,MATCH(A378,Брони!$A$2:$A$500,0)),""))</f>
        <v/>
      </c>
      <c r="D378" s="14" t="n"/>
      <c r="E378" s="10" t="n"/>
      <c r="F378" s="18" t="n"/>
      <c r="G378" s="18" t="n"/>
      <c r="H378" s="14" t="n"/>
      <c r="I378" s="14" t="n"/>
      <c r="J378" s="10" t="n"/>
      <c r="K378" s="15">
        <f>IF(OR(A378="",D378=""),"",D378-H378-I378)</f>
        <v/>
      </c>
      <c r="L378" s="12">
        <f>IF(K378="","",IF(K378&gt;0,"На руках",IF(I378&gt;0,IF(H378&gt;0,"Удержан частично","Удержан"),"Возвращён")))</f>
        <v/>
      </c>
      <c r="M378" s="10" t="n"/>
      <c r="N378" s="19">
        <f>IF(K378="","",IF(K378&gt;0,IFERROR(IF(INDEX(Брони!$F$2:$F$500,MATCH(A378,Брони!$A$2:$A$500,0))="Возвращена",TODAY()-INT(INDEX(Брони!$E$2:$E$500,MATCH(A378,Брони!$A$2:$A$500,0))),""),""),""))</f>
        <v/>
      </c>
      <c r="O378" s="19">
        <f>IF(OR(N378="",Настройки!$B$8=""),"",IF(N378&gt;Настройки!$B$8,1,""))</f>
        <v/>
      </c>
    </row>
    <row r="379">
      <c r="A379" s="9" t="n"/>
      <c r="B379" s="12">
        <f>IF(A379="","",IFERROR(INDEX(Брони!$C$2:$C$500,MATCH(A379,Брони!$A$2:$A$500,0)),""))</f>
        <v/>
      </c>
      <c r="C379" s="12">
        <f>IF(A379="","",IFERROR(INDEX(Брони!$B$2:$B$500,MATCH(A379,Брони!$A$2:$A$500,0)),""))</f>
        <v/>
      </c>
      <c r="D379" s="14" t="n"/>
      <c r="E379" s="10" t="n"/>
      <c r="F379" s="18" t="n"/>
      <c r="G379" s="18" t="n"/>
      <c r="H379" s="14" t="n"/>
      <c r="I379" s="14" t="n"/>
      <c r="J379" s="10" t="n"/>
      <c r="K379" s="15">
        <f>IF(OR(A379="",D379=""),"",D379-H379-I379)</f>
        <v/>
      </c>
      <c r="L379" s="12">
        <f>IF(K379="","",IF(K379&gt;0,"На руках",IF(I379&gt;0,IF(H379&gt;0,"Удержан частично","Удержан"),"Возвращён")))</f>
        <v/>
      </c>
      <c r="M379" s="10" t="n"/>
      <c r="N379" s="19">
        <f>IF(K379="","",IF(K379&gt;0,IFERROR(IF(INDEX(Брони!$F$2:$F$500,MATCH(A379,Брони!$A$2:$A$500,0))="Возвращена",TODAY()-INT(INDEX(Брони!$E$2:$E$500,MATCH(A379,Брони!$A$2:$A$500,0))),""),""),""))</f>
        <v/>
      </c>
      <c r="O379" s="19">
        <f>IF(OR(N379="",Настройки!$B$8=""),"",IF(N379&gt;Настройки!$B$8,1,""))</f>
        <v/>
      </c>
    </row>
    <row r="380">
      <c r="A380" s="9" t="n"/>
      <c r="B380" s="12">
        <f>IF(A380="","",IFERROR(INDEX(Брони!$C$2:$C$500,MATCH(A380,Брони!$A$2:$A$500,0)),""))</f>
        <v/>
      </c>
      <c r="C380" s="12">
        <f>IF(A380="","",IFERROR(INDEX(Брони!$B$2:$B$500,MATCH(A380,Брони!$A$2:$A$500,0)),""))</f>
        <v/>
      </c>
      <c r="D380" s="14" t="n"/>
      <c r="E380" s="10" t="n"/>
      <c r="F380" s="18" t="n"/>
      <c r="G380" s="18" t="n"/>
      <c r="H380" s="14" t="n"/>
      <c r="I380" s="14" t="n"/>
      <c r="J380" s="10" t="n"/>
      <c r="K380" s="15">
        <f>IF(OR(A380="",D380=""),"",D380-H380-I380)</f>
        <v/>
      </c>
      <c r="L380" s="12">
        <f>IF(K380="","",IF(K380&gt;0,"На руках",IF(I380&gt;0,IF(H380&gt;0,"Удержан частично","Удержан"),"Возвращён")))</f>
        <v/>
      </c>
      <c r="M380" s="10" t="n"/>
      <c r="N380" s="19">
        <f>IF(K380="","",IF(K380&gt;0,IFERROR(IF(INDEX(Брони!$F$2:$F$500,MATCH(A380,Брони!$A$2:$A$500,0))="Возвращена",TODAY()-INT(INDEX(Брони!$E$2:$E$500,MATCH(A380,Брони!$A$2:$A$500,0))),""),""),""))</f>
        <v/>
      </c>
      <c r="O380" s="19">
        <f>IF(OR(N380="",Настройки!$B$8=""),"",IF(N380&gt;Настройки!$B$8,1,""))</f>
        <v/>
      </c>
    </row>
    <row r="381">
      <c r="A381" s="9" t="n"/>
      <c r="B381" s="12">
        <f>IF(A381="","",IFERROR(INDEX(Брони!$C$2:$C$500,MATCH(A381,Брони!$A$2:$A$500,0)),""))</f>
        <v/>
      </c>
      <c r="C381" s="12">
        <f>IF(A381="","",IFERROR(INDEX(Брони!$B$2:$B$500,MATCH(A381,Брони!$A$2:$A$500,0)),""))</f>
        <v/>
      </c>
      <c r="D381" s="14" t="n"/>
      <c r="E381" s="10" t="n"/>
      <c r="F381" s="18" t="n"/>
      <c r="G381" s="18" t="n"/>
      <c r="H381" s="14" t="n"/>
      <c r="I381" s="14" t="n"/>
      <c r="J381" s="10" t="n"/>
      <c r="K381" s="15">
        <f>IF(OR(A381="",D381=""),"",D381-H381-I381)</f>
        <v/>
      </c>
      <c r="L381" s="12">
        <f>IF(K381="","",IF(K381&gt;0,"На руках",IF(I381&gt;0,IF(H381&gt;0,"Удержан частично","Удержан"),"Возвращён")))</f>
        <v/>
      </c>
      <c r="M381" s="10" t="n"/>
      <c r="N381" s="19">
        <f>IF(K381="","",IF(K381&gt;0,IFERROR(IF(INDEX(Брони!$F$2:$F$500,MATCH(A381,Брони!$A$2:$A$500,0))="Возвращена",TODAY()-INT(INDEX(Брони!$E$2:$E$500,MATCH(A381,Брони!$A$2:$A$500,0))),""),""),""))</f>
        <v/>
      </c>
      <c r="O381" s="19">
        <f>IF(OR(N381="",Настройки!$B$8=""),"",IF(N381&gt;Настройки!$B$8,1,""))</f>
        <v/>
      </c>
    </row>
    <row r="382">
      <c r="A382" s="9" t="n"/>
      <c r="B382" s="12">
        <f>IF(A382="","",IFERROR(INDEX(Брони!$C$2:$C$500,MATCH(A382,Брони!$A$2:$A$500,0)),""))</f>
        <v/>
      </c>
      <c r="C382" s="12">
        <f>IF(A382="","",IFERROR(INDEX(Брони!$B$2:$B$500,MATCH(A382,Брони!$A$2:$A$500,0)),""))</f>
        <v/>
      </c>
      <c r="D382" s="14" t="n"/>
      <c r="E382" s="10" t="n"/>
      <c r="F382" s="18" t="n"/>
      <c r="G382" s="18" t="n"/>
      <c r="H382" s="14" t="n"/>
      <c r="I382" s="14" t="n"/>
      <c r="J382" s="10" t="n"/>
      <c r="K382" s="15">
        <f>IF(OR(A382="",D382=""),"",D382-H382-I382)</f>
        <v/>
      </c>
      <c r="L382" s="12">
        <f>IF(K382="","",IF(K382&gt;0,"На руках",IF(I382&gt;0,IF(H382&gt;0,"Удержан частично","Удержан"),"Возвращён")))</f>
        <v/>
      </c>
      <c r="M382" s="10" t="n"/>
      <c r="N382" s="19">
        <f>IF(K382="","",IF(K382&gt;0,IFERROR(IF(INDEX(Брони!$F$2:$F$500,MATCH(A382,Брони!$A$2:$A$500,0))="Возвращена",TODAY()-INT(INDEX(Брони!$E$2:$E$500,MATCH(A382,Брони!$A$2:$A$500,0))),""),""),""))</f>
        <v/>
      </c>
      <c r="O382" s="19">
        <f>IF(OR(N382="",Настройки!$B$8=""),"",IF(N382&gt;Настройки!$B$8,1,""))</f>
        <v/>
      </c>
    </row>
    <row r="383">
      <c r="A383" s="9" t="n"/>
      <c r="B383" s="12">
        <f>IF(A383="","",IFERROR(INDEX(Брони!$C$2:$C$500,MATCH(A383,Брони!$A$2:$A$500,0)),""))</f>
        <v/>
      </c>
      <c r="C383" s="12">
        <f>IF(A383="","",IFERROR(INDEX(Брони!$B$2:$B$500,MATCH(A383,Брони!$A$2:$A$500,0)),""))</f>
        <v/>
      </c>
      <c r="D383" s="14" t="n"/>
      <c r="E383" s="10" t="n"/>
      <c r="F383" s="18" t="n"/>
      <c r="G383" s="18" t="n"/>
      <c r="H383" s="14" t="n"/>
      <c r="I383" s="14" t="n"/>
      <c r="J383" s="10" t="n"/>
      <c r="K383" s="15">
        <f>IF(OR(A383="",D383=""),"",D383-H383-I383)</f>
        <v/>
      </c>
      <c r="L383" s="12">
        <f>IF(K383="","",IF(K383&gt;0,"На руках",IF(I383&gt;0,IF(H383&gt;0,"Удержан частично","Удержан"),"Возвращён")))</f>
        <v/>
      </c>
      <c r="M383" s="10" t="n"/>
      <c r="N383" s="19">
        <f>IF(K383="","",IF(K383&gt;0,IFERROR(IF(INDEX(Брони!$F$2:$F$500,MATCH(A383,Брони!$A$2:$A$500,0))="Возвращена",TODAY()-INT(INDEX(Брони!$E$2:$E$500,MATCH(A383,Брони!$A$2:$A$500,0))),""),""),""))</f>
        <v/>
      </c>
      <c r="O383" s="19">
        <f>IF(OR(N383="",Настройки!$B$8=""),"",IF(N383&gt;Настройки!$B$8,1,""))</f>
        <v/>
      </c>
    </row>
    <row r="384">
      <c r="A384" s="9" t="n"/>
      <c r="B384" s="12">
        <f>IF(A384="","",IFERROR(INDEX(Брони!$C$2:$C$500,MATCH(A384,Брони!$A$2:$A$500,0)),""))</f>
        <v/>
      </c>
      <c r="C384" s="12">
        <f>IF(A384="","",IFERROR(INDEX(Брони!$B$2:$B$500,MATCH(A384,Брони!$A$2:$A$500,0)),""))</f>
        <v/>
      </c>
      <c r="D384" s="14" t="n"/>
      <c r="E384" s="10" t="n"/>
      <c r="F384" s="18" t="n"/>
      <c r="G384" s="18" t="n"/>
      <c r="H384" s="14" t="n"/>
      <c r="I384" s="14" t="n"/>
      <c r="J384" s="10" t="n"/>
      <c r="K384" s="15">
        <f>IF(OR(A384="",D384=""),"",D384-H384-I384)</f>
        <v/>
      </c>
      <c r="L384" s="12">
        <f>IF(K384="","",IF(K384&gt;0,"На руках",IF(I384&gt;0,IF(H384&gt;0,"Удержан частично","Удержан"),"Возвращён")))</f>
        <v/>
      </c>
      <c r="M384" s="10" t="n"/>
      <c r="N384" s="19">
        <f>IF(K384="","",IF(K384&gt;0,IFERROR(IF(INDEX(Брони!$F$2:$F$500,MATCH(A384,Брони!$A$2:$A$500,0))="Возвращена",TODAY()-INT(INDEX(Брони!$E$2:$E$500,MATCH(A384,Брони!$A$2:$A$500,0))),""),""),""))</f>
        <v/>
      </c>
      <c r="O384" s="19">
        <f>IF(OR(N384="",Настройки!$B$8=""),"",IF(N384&gt;Настройки!$B$8,1,""))</f>
        <v/>
      </c>
    </row>
    <row r="385">
      <c r="A385" s="9" t="n"/>
      <c r="B385" s="12">
        <f>IF(A385="","",IFERROR(INDEX(Брони!$C$2:$C$500,MATCH(A385,Брони!$A$2:$A$500,0)),""))</f>
        <v/>
      </c>
      <c r="C385" s="12">
        <f>IF(A385="","",IFERROR(INDEX(Брони!$B$2:$B$500,MATCH(A385,Брони!$A$2:$A$500,0)),""))</f>
        <v/>
      </c>
      <c r="D385" s="14" t="n"/>
      <c r="E385" s="10" t="n"/>
      <c r="F385" s="18" t="n"/>
      <c r="G385" s="18" t="n"/>
      <c r="H385" s="14" t="n"/>
      <c r="I385" s="14" t="n"/>
      <c r="J385" s="10" t="n"/>
      <c r="K385" s="15">
        <f>IF(OR(A385="",D385=""),"",D385-H385-I385)</f>
        <v/>
      </c>
      <c r="L385" s="12">
        <f>IF(K385="","",IF(K385&gt;0,"На руках",IF(I385&gt;0,IF(H385&gt;0,"Удержан частично","Удержан"),"Возвращён")))</f>
        <v/>
      </c>
      <c r="M385" s="10" t="n"/>
      <c r="N385" s="19">
        <f>IF(K385="","",IF(K385&gt;0,IFERROR(IF(INDEX(Брони!$F$2:$F$500,MATCH(A385,Брони!$A$2:$A$500,0))="Возвращена",TODAY()-INT(INDEX(Брони!$E$2:$E$500,MATCH(A385,Брони!$A$2:$A$500,0))),""),""),""))</f>
        <v/>
      </c>
      <c r="O385" s="19">
        <f>IF(OR(N385="",Настройки!$B$8=""),"",IF(N385&gt;Настройки!$B$8,1,""))</f>
        <v/>
      </c>
    </row>
    <row r="386">
      <c r="A386" s="9" t="n"/>
      <c r="B386" s="12">
        <f>IF(A386="","",IFERROR(INDEX(Брони!$C$2:$C$500,MATCH(A386,Брони!$A$2:$A$500,0)),""))</f>
        <v/>
      </c>
      <c r="C386" s="12">
        <f>IF(A386="","",IFERROR(INDEX(Брони!$B$2:$B$500,MATCH(A386,Брони!$A$2:$A$500,0)),""))</f>
        <v/>
      </c>
      <c r="D386" s="14" t="n"/>
      <c r="E386" s="10" t="n"/>
      <c r="F386" s="18" t="n"/>
      <c r="G386" s="18" t="n"/>
      <c r="H386" s="14" t="n"/>
      <c r="I386" s="14" t="n"/>
      <c r="J386" s="10" t="n"/>
      <c r="K386" s="15">
        <f>IF(OR(A386="",D386=""),"",D386-H386-I386)</f>
        <v/>
      </c>
      <c r="L386" s="12">
        <f>IF(K386="","",IF(K386&gt;0,"На руках",IF(I386&gt;0,IF(H386&gt;0,"Удержан частично","Удержан"),"Возвращён")))</f>
        <v/>
      </c>
      <c r="M386" s="10" t="n"/>
      <c r="N386" s="19">
        <f>IF(K386="","",IF(K386&gt;0,IFERROR(IF(INDEX(Брони!$F$2:$F$500,MATCH(A386,Брони!$A$2:$A$500,0))="Возвращена",TODAY()-INT(INDEX(Брони!$E$2:$E$500,MATCH(A386,Брони!$A$2:$A$500,0))),""),""),""))</f>
        <v/>
      </c>
      <c r="O386" s="19">
        <f>IF(OR(N386="",Настройки!$B$8=""),"",IF(N386&gt;Настройки!$B$8,1,""))</f>
        <v/>
      </c>
    </row>
    <row r="387">
      <c r="A387" s="9" t="n"/>
      <c r="B387" s="12">
        <f>IF(A387="","",IFERROR(INDEX(Брони!$C$2:$C$500,MATCH(A387,Брони!$A$2:$A$500,0)),""))</f>
        <v/>
      </c>
      <c r="C387" s="12">
        <f>IF(A387="","",IFERROR(INDEX(Брони!$B$2:$B$500,MATCH(A387,Брони!$A$2:$A$500,0)),""))</f>
        <v/>
      </c>
      <c r="D387" s="14" t="n"/>
      <c r="E387" s="10" t="n"/>
      <c r="F387" s="18" t="n"/>
      <c r="G387" s="18" t="n"/>
      <c r="H387" s="14" t="n"/>
      <c r="I387" s="14" t="n"/>
      <c r="J387" s="10" t="n"/>
      <c r="K387" s="15">
        <f>IF(OR(A387="",D387=""),"",D387-H387-I387)</f>
        <v/>
      </c>
      <c r="L387" s="12">
        <f>IF(K387="","",IF(K387&gt;0,"На руках",IF(I387&gt;0,IF(H387&gt;0,"Удержан частично","Удержан"),"Возвращён")))</f>
        <v/>
      </c>
      <c r="M387" s="10" t="n"/>
      <c r="N387" s="19">
        <f>IF(K387="","",IF(K387&gt;0,IFERROR(IF(INDEX(Брони!$F$2:$F$500,MATCH(A387,Брони!$A$2:$A$500,0))="Возвращена",TODAY()-INT(INDEX(Брони!$E$2:$E$500,MATCH(A387,Брони!$A$2:$A$500,0))),""),""),""))</f>
        <v/>
      </c>
      <c r="O387" s="19">
        <f>IF(OR(N387="",Настройки!$B$8=""),"",IF(N387&gt;Настройки!$B$8,1,""))</f>
        <v/>
      </c>
    </row>
    <row r="388">
      <c r="A388" s="9" t="n"/>
      <c r="B388" s="12">
        <f>IF(A388="","",IFERROR(INDEX(Брони!$C$2:$C$500,MATCH(A388,Брони!$A$2:$A$500,0)),""))</f>
        <v/>
      </c>
      <c r="C388" s="12">
        <f>IF(A388="","",IFERROR(INDEX(Брони!$B$2:$B$500,MATCH(A388,Брони!$A$2:$A$500,0)),""))</f>
        <v/>
      </c>
      <c r="D388" s="14" t="n"/>
      <c r="E388" s="10" t="n"/>
      <c r="F388" s="18" t="n"/>
      <c r="G388" s="18" t="n"/>
      <c r="H388" s="14" t="n"/>
      <c r="I388" s="14" t="n"/>
      <c r="J388" s="10" t="n"/>
      <c r="K388" s="15">
        <f>IF(OR(A388="",D388=""),"",D388-H388-I388)</f>
        <v/>
      </c>
      <c r="L388" s="12">
        <f>IF(K388="","",IF(K388&gt;0,"На руках",IF(I388&gt;0,IF(H388&gt;0,"Удержан частично","Удержан"),"Возвращён")))</f>
        <v/>
      </c>
      <c r="M388" s="10" t="n"/>
      <c r="N388" s="19">
        <f>IF(K388="","",IF(K388&gt;0,IFERROR(IF(INDEX(Брони!$F$2:$F$500,MATCH(A388,Брони!$A$2:$A$500,0))="Возвращена",TODAY()-INT(INDEX(Брони!$E$2:$E$500,MATCH(A388,Брони!$A$2:$A$500,0))),""),""),""))</f>
        <v/>
      </c>
      <c r="O388" s="19">
        <f>IF(OR(N388="",Настройки!$B$8=""),"",IF(N388&gt;Настройки!$B$8,1,""))</f>
        <v/>
      </c>
    </row>
    <row r="389">
      <c r="A389" s="9" t="n"/>
      <c r="B389" s="12">
        <f>IF(A389="","",IFERROR(INDEX(Брони!$C$2:$C$500,MATCH(A389,Брони!$A$2:$A$500,0)),""))</f>
        <v/>
      </c>
      <c r="C389" s="12">
        <f>IF(A389="","",IFERROR(INDEX(Брони!$B$2:$B$500,MATCH(A389,Брони!$A$2:$A$500,0)),""))</f>
        <v/>
      </c>
      <c r="D389" s="14" t="n"/>
      <c r="E389" s="10" t="n"/>
      <c r="F389" s="18" t="n"/>
      <c r="G389" s="18" t="n"/>
      <c r="H389" s="14" t="n"/>
      <c r="I389" s="14" t="n"/>
      <c r="J389" s="10" t="n"/>
      <c r="K389" s="15">
        <f>IF(OR(A389="",D389=""),"",D389-H389-I389)</f>
        <v/>
      </c>
      <c r="L389" s="12">
        <f>IF(K389="","",IF(K389&gt;0,"На руках",IF(I389&gt;0,IF(H389&gt;0,"Удержан частично","Удержан"),"Возвращён")))</f>
        <v/>
      </c>
      <c r="M389" s="10" t="n"/>
      <c r="N389" s="19">
        <f>IF(K389="","",IF(K389&gt;0,IFERROR(IF(INDEX(Брони!$F$2:$F$500,MATCH(A389,Брони!$A$2:$A$500,0))="Возвращена",TODAY()-INT(INDEX(Брони!$E$2:$E$500,MATCH(A389,Брони!$A$2:$A$500,0))),""),""),""))</f>
        <v/>
      </c>
      <c r="O389" s="19">
        <f>IF(OR(N389="",Настройки!$B$8=""),"",IF(N389&gt;Настройки!$B$8,1,""))</f>
        <v/>
      </c>
    </row>
    <row r="390">
      <c r="A390" s="9" t="n"/>
      <c r="B390" s="12">
        <f>IF(A390="","",IFERROR(INDEX(Брони!$C$2:$C$500,MATCH(A390,Брони!$A$2:$A$500,0)),""))</f>
        <v/>
      </c>
      <c r="C390" s="12">
        <f>IF(A390="","",IFERROR(INDEX(Брони!$B$2:$B$500,MATCH(A390,Брони!$A$2:$A$500,0)),""))</f>
        <v/>
      </c>
      <c r="D390" s="14" t="n"/>
      <c r="E390" s="10" t="n"/>
      <c r="F390" s="18" t="n"/>
      <c r="G390" s="18" t="n"/>
      <c r="H390" s="14" t="n"/>
      <c r="I390" s="14" t="n"/>
      <c r="J390" s="10" t="n"/>
      <c r="K390" s="15">
        <f>IF(OR(A390="",D390=""),"",D390-H390-I390)</f>
        <v/>
      </c>
      <c r="L390" s="12">
        <f>IF(K390="","",IF(K390&gt;0,"На руках",IF(I390&gt;0,IF(H390&gt;0,"Удержан частично","Удержан"),"Возвращён")))</f>
        <v/>
      </c>
      <c r="M390" s="10" t="n"/>
      <c r="N390" s="19">
        <f>IF(K390="","",IF(K390&gt;0,IFERROR(IF(INDEX(Брони!$F$2:$F$500,MATCH(A390,Брони!$A$2:$A$500,0))="Возвращена",TODAY()-INT(INDEX(Брони!$E$2:$E$500,MATCH(A390,Брони!$A$2:$A$500,0))),""),""),""))</f>
        <v/>
      </c>
      <c r="O390" s="19">
        <f>IF(OR(N390="",Настройки!$B$8=""),"",IF(N390&gt;Настройки!$B$8,1,""))</f>
        <v/>
      </c>
    </row>
    <row r="391">
      <c r="A391" s="9" t="n"/>
      <c r="B391" s="12">
        <f>IF(A391="","",IFERROR(INDEX(Брони!$C$2:$C$500,MATCH(A391,Брони!$A$2:$A$500,0)),""))</f>
        <v/>
      </c>
      <c r="C391" s="12">
        <f>IF(A391="","",IFERROR(INDEX(Брони!$B$2:$B$500,MATCH(A391,Брони!$A$2:$A$500,0)),""))</f>
        <v/>
      </c>
      <c r="D391" s="14" t="n"/>
      <c r="E391" s="10" t="n"/>
      <c r="F391" s="18" t="n"/>
      <c r="G391" s="18" t="n"/>
      <c r="H391" s="14" t="n"/>
      <c r="I391" s="14" t="n"/>
      <c r="J391" s="10" t="n"/>
      <c r="K391" s="15">
        <f>IF(OR(A391="",D391=""),"",D391-H391-I391)</f>
        <v/>
      </c>
      <c r="L391" s="12">
        <f>IF(K391="","",IF(K391&gt;0,"На руках",IF(I391&gt;0,IF(H391&gt;0,"Удержан частично","Удержан"),"Возвращён")))</f>
        <v/>
      </c>
      <c r="M391" s="10" t="n"/>
      <c r="N391" s="19">
        <f>IF(K391="","",IF(K391&gt;0,IFERROR(IF(INDEX(Брони!$F$2:$F$500,MATCH(A391,Брони!$A$2:$A$500,0))="Возвращена",TODAY()-INT(INDEX(Брони!$E$2:$E$500,MATCH(A391,Брони!$A$2:$A$500,0))),""),""),""))</f>
        <v/>
      </c>
      <c r="O391" s="19">
        <f>IF(OR(N391="",Настройки!$B$8=""),"",IF(N391&gt;Настройки!$B$8,1,""))</f>
        <v/>
      </c>
    </row>
    <row r="392">
      <c r="A392" s="9" t="n"/>
      <c r="B392" s="12">
        <f>IF(A392="","",IFERROR(INDEX(Брони!$C$2:$C$500,MATCH(A392,Брони!$A$2:$A$500,0)),""))</f>
        <v/>
      </c>
      <c r="C392" s="12">
        <f>IF(A392="","",IFERROR(INDEX(Брони!$B$2:$B$500,MATCH(A392,Брони!$A$2:$A$500,0)),""))</f>
        <v/>
      </c>
      <c r="D392" s="14" t="n"/>
      <c r="E392" s="10" t="n"/>
      <c r="F392" s="18" t="n"/>
      <c r="G392" s="18" t="n"/>
      <c r="H392" s="14" t="n"/>
      <c r="I392" s="14" t="n"/>
      <c r="J392" s="10" t="n"/>
      <c r="K392" s="15">
        <f>IF(OR(A392="",D392=""),"",D392-H392-I392)</f>
        <v/>
      </c>
      <c r="L392" s="12">
        <f>IF(K392="","",IF(K392&gt;0,"На руках",IF(I392&gt;0,IF(H392&gt;0,"Удержан частично","Удержан"),"Возвращён")))</f>
        <v/>
      </c>
      <c r="M392" s="10" t="n"/>
      <c r="N392" s="19">
        <f>IF(K392="","",IF(K392&gt;0,IFERROR(IF(INDEX(Брони!$F$2:$F$500,MATCH(A392,Брони!$A$2:$A$500,0))="Возвращена",TODAY()-INT(INDEX(Брони!$E$2:$E$500,MATCH(A392,Брони!$A$2:$A$500,0))),""),""),""))</f>
        <v/>
      </c>
      <c r="O392" s="19">
        <f>IF(OR(N392="",Настройки!$B$8=""),"",IF(N392&gt;Настройки!$B$8,1,""))</f>
        <v/>
      </c>
    </row>
    <row r="393">
      <c r="A393" s="9" t="n"/>
      <c r="B393" s="12">
        <f>IF(A393="","",IFERROR(INDEX(Брони!$C$2:$C$500,MATCH(A393,Брони!$A$2:$A$500,0)),""))</f>
        <v/>
      </c>
      <c r="C393" s="12">
        <f>IF(A393="","",IFERROR(INDEX(Брони!$B$2:$B$500,MATCH(A393,Брони!$A$2:$A$500,0)),""))</f>
        <v/>
      </c>
      <c r="D393" s="14" t="n"/>
      <c r="E393" s="10" t="n"/>
      <c r="F393" s="18" t="n"/>
      <c r="G393" s="18" t="n"/>
      <c r="H393" s="14" t="n"/>
      <c r="I393" s="14" t="n"/>
      <c r="J393" s="10" t="n"/>
      <c r="K393" s="15">
        <f>IF(OR(A393="",D393=""),"",D393-H393-I393)</f>
        <v/>
      </c>
      <c r="L393" s="12">
        <f>IF(K393="","",IF(K393&gt;0,"На руках",IF(I393&gt;0,IF(H393&gt;0,"Удержан частично","Удержан"),"Возвращён")))</f>
        <v/>
      </c>
      <c r="M393" s="10" t="n"/>
      <c r="N393" s="19">
        <f>IF(K393="","",IF(K393&gt;0,IFERROR(IF(INDEX(Брони!$F$2:$F$500,MATCH(A393,Брони!$A$2:$A$500,0))="Возвращена",TODAY()-INT(INDEX(Брони!$E$2:$E$500,MATCH(A393,Брони!$A$2:$A$500,0))),""),""),""))</f>
        <v/>
      </c>
      <c r="O393" s="19">
        <f>IF(OR(N393="",Настройки!$B$8=""),"",IF(N393&gt;Настройки!$B$8,1,""))</f>
        <v/>
      </c>
    </row>
    <row r="394">
      <c r="A394" s="9" t="n"/>
      <c r="B394" s="12">
        <f>IF(A394="","",IFERROR(INDEX(Брони!$C$2:$C$500,MATCH(A394,Брони!$A$2:$A$500,0)),""))</f>
        <v/>
      </c>
      <c r="C394" s="12">
        <f>IF(A394="","",IFERROR(INDEX(Брони!$B$2:$B$500,MATCH(A394,Брони!$A$2:$A$500,0)),""))</f>
        <v/>
      </c>
      <c r="D394" s="14" t="n"/>
      <c r="E394" s="10" t="n"/>
      <c r="F394" s="18" t="n"/>
      <c r="G394" s="18" t="n"/>
      <c r="H394" s="14" t="n"/>
      <c r="I394" s="14" t="n"/>
      <c r="J394" s="10" t="n"/>
      <c r="K394" s="15">
        <f>IF(OR(A394="",D394=""),"",D394-H394-I394)</f>
        <v/>
      </c>
      <c r="L394" s="12">
        <f>IF(K394="","",IF(K394&gt;0,"На руках",IF(I394&gt;0,IF(H394&gt;0,"Удержан частично","Удержан"),"Возвращён")))</f>
        <v/>
      </c>
      <c r="M394" s="10" t="n"/>
      <c r="N394" s="19">
        <f>IF(K394="","",IF(K394&gt;0,IFERROR(IF(INDEX(Брони!$F$2:$F$500,MATCH(A394,Брони!$A$2:$A$500,0))="Возвращена",TODAY()-INT(INDEX(Брони!$E$2:$E$500,MATCH(A394,Брони!$A$2:$A$500,0))),""),""),""))</f>
        <v/>
      </c>
      <c r="O394" s="19">
        <f>IF(OR(N394="",Настройки!$B$8=""),"",IF(N394&gt;Настройки!$B$8,1,""))</f>
        <v/>
      </c>
    </row>
    <row r="395">
      <c r="A395" s="9" t="n"/>
      <c r="B395" s="12">
        <f>IF(A395="","",IFERROR(INDEX(Брони!$C$2:$C$500,MATCH(A395,Брони!$A$2:$A$500,0)),""))</f>
        <v/>
      </c>
      <c r="C395" s="12">
        <f>IF(A395="","",IFERROR(INDEX(Брони!$B$2:$B$500,MATCH(A395,Брони!$A$2:$A$500,0)),""))</f>
        <v/>
      </c>
      <c r="D395" s="14" t="n"/>
      <c r="E395" s="10" t="n"/>
      <c r="F395" s="18" t="n"/>
      <c r="G395" s="18" t="n"/>
      <c r="H395" s="14" t="n"/>
      <c r="I395" s="14" t="n"/>
      <c r="J395" s="10" t="n"/>
      <c r="K395" s="15">
        <f>IF(OR(A395="",D395=""),"",D395-H395-I395)</f>
        <v/>
      </c>
      <c r="L395" s="12">
        <f>IF(K395="","",IF(K395&gt;0,"На руках",IF(I395&gt;0,IF(H395&gt;0,"Удержан частично","Удержан"),"Возвращён")))</f>
        <v/>
      </c>
      <c r="M395" s="10" t="n"/>
      <c r="N395" s="19">
        <f>IF(K395="","",IF(K395&gt;0,IFERROR(IF(INDEX(Брони!$F$2:$F$500,MATCH(A395,Брони!$A$2:$A$500,0))="Возвращена",TODAY()-INT(INDEX(Брони!$E$2:$E$500,MATCH(A395,Брони!$A$2:$A$500,0))),""),""),""))</f>
        <v/>
      </c>
      <c r="O395" s="19">
        <f>IF(OR(N395="",Настройки!$B$8=""),"",IF(N395&gt;Настройки!$B$8,1,""))</f>
        <v/>
      </c>
    </row>
    <row r="396">
      <c r="A396" s="9" t="n"/>
      <c r="B396" s="12">
        <f>IF(A396="","",IFERROR(INDEX(Брони!$C$2:$C$500,MATCH(A396,Брони!$A$2:$A$500,0)),""))</f>
        <v/>
      </c>
      <c r="C396" s="12">
        <f>IF(A396="","",IFERROR(INDEX(Брони!$B$2:$B$500,MATCH(A396,Брони!$A$2:$A$500,0)),""))</f>
        <v/>
      </c>
      <c r="D396" s="14" t="n"/>
      <c r="E396" s="10" t="n"/>
      <c r="F396" s="18" t="n"/>
      <c r="G396" s="18" t="n"/>
      <c r="H396" s="14" t="n"/>
      <c r="I396" s="14" t="n"/>
      <c r="J396" s="10" t="n"/>
      <c r="K396" s="15">
        <f>IF(OR(A396="",D396=""),"",D396-H396-I396)</f>
        <v/>
      </c>
      <c r="L396" s="12">
        <f>IF(K396="","",IF(K396&gt;0,"На руках",IF(I396&gt;0,IF(H396&gt;0,"Удержан частично","Удержан"),"Возвращён")))</f>
        <v/>
      </c>
      <c r="M396" s="10" t="n"/>
      <c r="N396" s="19">
        <f>IF(K396="","",IF(K396&gt;0,IFERROR(IF(INDEX(Брони!$F$2:$F$500,MATCH(A396,Брони!$A$2:$A$500,0))="Возвращена",TODAY()-INT(INDEX(Брони!$E$2:$E$500,MATCH(A396,Брони!$A$2:$A$500,0))),""),""),""))</f>
        <v/>
      </c>
      <c r="O396" s="19">
        <f>IF(OR(N396="",Настройки!$B$8=""),"",IF(N396&gt;Настройки!$B$8,1,""))</f>
        <v/>
      </c>
    </row>
    <row r="397">
      <c r="A397" s="9" t="n"/>
      <c r="B397" s="12">
        <f>IF(A397="","",IFERROR(INDEX(Брони!$C$2:$C$500,MATCH(A397,Брони!$A$2:$A$500,0)),""))</f>
        <v/>
      </c>
      <c r="C397" s="12">
        <f>IF(A397="","",IFERROR(INDEX(Брони!$B$2:$B$500,MATCH(A397,Брони!$A$2:$A$500,0)),""))</f>
        <v/>
      </c>
      <c r="D397" s="14" t="n"/>
      <c r="E397" s="10" t="n"/>
      <c r="F397" s="18" t="n"/>
      <c r="G397" s="18" t="n"/>
      <c r="H397" s="14" t="n"/>
      <c r="I397" s="14" t="n"/>
      <c r="J397" s="10" t="n"/>
      <c r="K397" s="15">
        <f>IF(OR(A397="",D397=""),"",D397-H397-I397)</f>
        <v/>
      </c>
      <c r="L397" s="12">
        <f>IF(K397="","",IF(K397&gt;0,"На руках",IF(I397&gt;0,IF(H397&gt;0,"Удержан частично","Удержан"),"Возвращён")))</f>
        <v/>
      </c>
      <c r="M397" s="10" t="n"/>
      <c r="N397" s="19">
        <f>IF(K397="","",IF(K397&gt;0,IFERROR(IF(INDEX(Брони!$F$2:$F$500,MATCH(A397,Брони!$A$2:$A$500,0))="Возвращена",TODAY()-INT(INDEX(Брони!$E$2:$E$500,MATCH(A397,Брони!$A$2:$A$500,0))),""),""),""))</f>
        <v/>
      </c>
      <c r="O397" s="19">
        <f>IF(OR(N397="",Настройки!$B$8=""),"",IF(N397&gt;Настройки!$B$8,1,""))</f>
        <v/>
      </c>
    </row>
    <row r="398">
      <c r="A398" s="9" t="n"/>
      <c r="B398" s="12">
        <f>IF(A398="","",IFERROR(INDEX(Брони!$C$2:$C$500,MATCH(A398,Брони!$A$2:$A$500,0)),""))</f>
        <v/>
      </c>
      <c r="C398" s="12">
        <f>IF(A398="","",IFERROR(INDEX(Брони!$B$2:$B$500,MATCH(A398,Брони!$A$2:$A$500,0)),""))</f>
        <v/>
      </c>
      <c r="D398" s="14" t="n"/>
      <c r="E398" s="10" t="n"/>
      <c r="F398" s="18" t="n"/>
      <c r="G398" s="18" t="n"/>
      <c r="H398" s="14" t="n"/>
      <c r="I398" s="14" t="n"/>
      <c r="J398" s="10" t="n"/>
      <c r="K398" s="15">
        <f>IF(OR(A398="",D398=""),"",D398-H398-I398)</f>
        <v/>
      </c>
      <c r="L398" s="12">
        <f>IF(K398="","",IF(K398&gt;0,"На руках",IF(I398&gt;0,IF(H398&gt;0,"Удержан частично","Удержан"),"Возвращён")))</f>
        <v/>
      </c>
      <c r="M398" s="10" t="n"/>
      <c r="N398" s="19">
        <f>IF(K398="","",IF(K398&gt;0,IFERROR(IF(INDEX(Брони!$F$2:$F$500,MATCH(A398,Брони!$A$2:$A$500,0))="Возвращена",TODAY()-INT(INDEX(Брони!$E$2:$E$500,MATCH(A398,Брони!$A$2:$A$500,0))),""),""),""))</f>
        <v/>
      </c>
      <c r="O398" s="19">
        <f>IF(OR(N398="",Настройки!$B$8=""),"",IF(N398&gt;Настройки!$B$8,1,""))</f>
        <v/>
      </c>
    </row>
    <row r="399">
      <c r="A399" s="9" t="n"/>
      <c r="B399" s="12">
        <f>IF(A399="","",IFERROR(INDEX(Брони!$C$2:$C$500,MATCH(A399,Брони!$A$2:$A$500,0)),""))</f>
        <v/>
      </c>
      <c r="C399" s="12">
        <f>IF(A399="","",IFERROR(INDEX(Брони!$B$2:$B$500,MATCH(A399,Брони!$A$2:$A$500,0)),""))</f>
        <v/>
      </c>
      <c r="D399" s="14" t="n"/>
      <c r="E399" s="10" t="n"/>
      <c r="F399" s="18" t="n"/>
      <c r="G399" s="18" t="n"/>
      <c r="H399" s="14" t="n"/>
      <c r="I399" s="14" t="n"/>
      <c r="J399" s="10" t="n"/>
      <c r="K399" s="15">
        <f>IF(OR(A399="",D399=""),"",D399-H399-I399)</f>
        <v/>
      </c>
      <c r="L399" s="12">
        <f>IF(K399="","",IF(K399&gt;0,"На руках",IF(I399&gt;0,IF(H399&gt;0,"Удержан частично","Удержан"),"Возвращён")))</f>
        <v/>
      </c>
      <c r="M399" s="10" t="n"/>
      <c r="N399" s="19">
        <f>IF(K399="","",IF(K399&gt;0,IFERROR(IF(INDEX(Брони!$F$2:$F$500,MATCH(A399,Брони!$A$2:$A$500,0))="Возвращена",TODAY()-INT(INDEX(Брони!$E$2:$E$500,MATCH(A399,Брони!$A$2:$A$500,0))),""),""),""))</f>
        <v/>
      </c>
      <c r="O399" s="19">
        <f>IF(OR(N399="",Настройки!$B$8=""),"",IF(N399&gt;Настройки!$B$8,1,""))</f>
        <v/>
      </c>
    </row>
    <row r="400">
      <c r="A400" s="9" t="n"/>
      <c r="B400" s="12">
        <f>IF(A400="","",IFERROR(INDEX(Брони!$C$2:$C$500,MATCH(A400,Брони!$A$2:$A$500,0)),""))</f>
        <v/>
      </c>
      <c r="C400" s="12">
        <f>IF(A400="","",IFERROR(INDEX(Брони!$B$2:$B$500,MATCH(A400,Брони!$A$2:$A$500,0)),""))</f>
        <v/>
      </c>
      <c r="D400" s="14" t="n"/>
      <c r="E400" s="10" t="n"/>
      <c r="F400" s="18" t="n"/>
      <c r="G400" s="18" t="n"/>
      <c r="H400" s="14" t="n"/>
      <c r="I400" s="14" t="n"/>
      <c r="J400" s="10" t="n"/>
      <c r="K400" s="15">
        <f>IF(OR(A400="",D400=""),"",D400-H400-I400)</f>
        <v/>
      </c>
      <c r="L400" s="12">
        <f>IF(K400="","",IF(K400&gt;0,"На руках",IF(I400&gt;0,IF(H400&gt;0,"Удержан частично","Удержан"),"Возвращён")))</f>
        <v/>
      </c>
      <c r="M400" s="10" t="n"/>
      <c r="N400" s="19">
        <f>IF(K400="","",IF(K400&gt;0,IFERROR(IF(INDEX(Брони!$F$2:$F$500,MATCH(A400,Брони!$A$2:$A$500,0))="Возвращена",TODAY()-INT(INDEX(Брони!$E$2:$E$500,MATCH(A400,Брони!$A$2:$A$500,0))),""),""),""))</f>
        <v/>
      </c>
      <c r="O400" s="19">
        <f>IF(OR(N400="",Настройки!$B$8=""),"",IF(N400&gt;Настройки!$B$8,1,""))</f>
        <v/>
      </c>
    </row>
    <row r="401">
      <c r="A401" s="9" t="n"/>
      <c r="B401" s="12">
        <f>IF(A401="","",IFERROR(INDEX(Брони!$C$2:$C$500,MATCH(A401,Брони!$A$2:$A$500,0)),""))</f>
        <v/>
      </c>
      <c r="C401" s="12">
        <f>IF(A401="","",IFERROR(INDEX(Брони!$B$2:$B$500,MATCH(A401,Брони!$A$2:$A$500,0)),""))</f>
        <v/>
      </c>
      <c r="D401" s="14" t="n"/>
      <c r="E401" s="10" t="n"/>
      <c r="F401" s="18" t="n"/>
      <c r="G401" s="18" t="n"/>
      <c r="H401" s="14" t="n"/>
      <c r="I401" s="14" t="n"/>
      <c r="J401" s="10" t="n"/>
      <c r="K401" s="15">
        <f>IF(OR(A401="",D401=""),"",D401-H401-I401)</f>
        <v/>
      </c>
      <c r="L401" s="12">
        <f>IF(K401="","",IF(K401&gt;0,"На руках",IF(I401&gt;0,IF(H401&gt;0,"Удержан частично","Удержан"),"Возвращён")))</f>
        <v/>
      </c>
      <c r="M401" s="10" t="n"/>
      <c r="N401" s="19">
        <f>IF(K401="","",IF(K401&gt;0,IFERROR(IF(INDEX(Брони!$F$2:$F$500,MATCH(A401,Брони!$A$2:$A$500,0))="Возвращена",TODAY()-INT(INDEX(Брони!$E$2:$E$500,MATCH(A401,Брони!$A$2:$A$500,0))),""),""),""))</f>
        <v/>
      </c>
      <c r="O401" s="19">
        <f>IF(OR(N401="",Настройки!$B$8=""),"",IF(N401&gt;Настройки!$B$8,1,""))</f>
        <v/>
      </c>
    </row>
    <row r="402">
      <c r="A402" s="9" t="n"/>
      <c r="B402" s="12">
        <f>IF(A402="","",IFERROR(INDEX(Брони!$C$2:$C$500,MATCH(A402,Брони!$A$2:$A$500,0)),""))</f>
        <v/>
      </c>
      <c r="C402" s="12">
        <f>IF(A402="","",IFERROR(INDEX(Брони!$B$2:$B$500,MATCH(A402,Брони!$A$2:$A$500,0)),""))</f>
        <v/>
      </c>
      <c r="D402" s="14" t="n"/>
      <c r="E402" s="10" t="n"/>
      <c r="F402" s="18" t="n"/>
      <c r="G402" s="18" t="n"/>
      <c r="H402" s="14" t="n"/>
      <c r="I402" s="14" t="n"/>
      <c r="J402" s="10" t="n"/>
      <c r="K402" s="15">
        <f>IF(OR(A402="",D402=""),"",D402-H402-I402)</f>
        <v/>
      </c>
      <c r="L402" s="12">
        <f>IF(K402="","",IF(K402&gt;0,"На руках",IF(I402&gt;0,IF(H402&gt;0,"Удержан частично","Удержан"),"Возвращён")))</f>
        <v/>
      </c>
      <c r="M402" s="10" t="n"/>
      <c r="N402" s="19">
        <f>IF(K402="","",IF(K402&gt;0,IFERROR(IF(INDEX(Брони!$F$2:$F$500,MATCH(A402,Брони!$A$2:$A$500,0))="Возвращена",TODAY()-INT(INDEX(Брони!$E$2:$E$500,MATCH(A402,Брони!$A$2:$A$500,0))),""),""),""))</f>
        <v/>
      </c>
      <c r="O402" s="19">
        <f>IF(OR(N402="",Настройки!$B$8=""),"",IF(N402&gt;Настройки!$B$8,1,""))</f>
        <v/>
      </c>
    </row>
    <row r="403">
      <c r="A403" s="9" t="n"/>
      <c r="B403" s="12">
        <f>IF(A403="","",IFERROR(INDEX(Брони!$C$2:$C$500,MATCH(A403,Брони!$A$2:$A$500,0)),""))</f>
        <v/>
      </c>
      <c r="C403" s="12">
        <f>IF(A403="","",IFERROR(INDEX(Брони!$B$2:$B$500,MATCH(A403,Брони!$A$2:$A$500,0)),""))</f>
        <v/>
      </c>
      <c r="D403" s="14" t="n"/>
      <c r="E403" s="10" t="n"/>
      <c r="F403" s="18" t="n"/>
      <c r="G403" s="18" t="n"/>
      <c r="H403" s="14" t="n"/>
      <c r="I403" s="14" t="n"/>
      <c r="J403" s="10" t="n"/>
      <c r="K403" s="15">
        <f>IF(OR(A403="",D403=""),"",D403-H403-I403)</f>
        <v/>
      </c>
      <c r="L403" s="12">
        <f>IF(K403="","",IF(K403&gt;0,"На руках",IF(I403&gt;0,IF(H403&gt;0,"Удержан частично","Удержан"),"Возвращён")))</f>
        <v/>
      </c>
      <c r="M403" s="10" t="n"/>
      <c r="N403" s="19">
        <f>IF(K403="","",IF(K403&gt;0,IFERROR(IF(INDEX(Брони!$F$2:$F$500,MATCH(A403,Брони!$A$2:$A$500,0))="Возвращена",TODAY()-INT(INDEX(Брони!$E$2:$E$500,MATCH(A403,Брони!$A$2:$A$500,0))),""),""),""))</f>
        <v/>
      </c>
      <c r="O403" s="19">
        <f>IF(OR(N403="",Настройки!$B$8=""),"",IF(N403&gt;Настройки!$B$8,1,""))</f>
        <v/>
      </c>
    </row>
    <row r="404">
      <c r="A404" s="9" t="n"/>
      <c r="B404" s="12">
        <f>IF(A404="","",IFERROR(INDEX(Брони!$C$2:$C$500,MATCH(A404,Брони!$A$2:$A$500,0)),""))</f>
        <v/>
      </c>
      <c r="C404" s="12">
        <f>IF(A404="","",IFERROR(INDEX(Брони!$B$2:$B$500,MATCH(A404,Брони!$A$2:$A$500,0)),""))</f>
        <v/>
      </c>
      <c r="D404" s="14" t="n"/>
      <c r="E404" s="10" t="n"/>
      <c r="F404" s="18" t="n"/>
      <c r="G404" s="18" t="n"/>
      <c r="H404" s="14" t="n"/>
      <c r="I404" s="14" t="n"/>
      <c r="J404" s="10" t="n"/>
      <c r="K404" s="15">
        <f>IF(OR(A404="",D404=""),"",D404-H404-I404)</f>
        <v/>
      </c>
      <c r="L404" s="12">
        <f>IF(K404="","",IF(K404&gt;0,"На руках",IF(I404&gt;0,IF(H404&gt;0,"Удержан частично","Удержан"),"Возвращён")))</f>
        <v/>
      </c>
      <c r="M404" s="10" t="n"/>
      <c r="N404" s="19">
        <f>IF(K404="","",IF(K404&gt;0,IFERROR(IF(INDEX(Брони!$F$2:$F$500,MATCH(A404,Брони!$A$2:$A$500,0))="Возвращена",TODAY()-INT(INDEX(Брони!$E$2:$E$500,MATCH(A404,Брони!$A$2:$A$500,0))),""),""),""))</f>
        <v/>
      </c>
      <c r="O404" s="19">
        <f>IF(OR(N404="",Настройки!$B$8=""),"",IF(N404&gt;Настройки!$B$8,1,""))</f>
        <v/>
      </c>
    </row>
    <row r="405">
      <c r="A405" s="9" t="n"/>
      <c r="B405" s="12">
        <f>IF(A405="","",IFERROR(INDEX(Брони!$C$2:$C$500,MATCH(A405,Брони!$A$2:$A$500,0)),""))</f>
        <v/>
      </c>
      <c r="C405" s="12">
        <f>IF(A405="","",IFERROR(INDEX(Брони!$B$2:$B$500,MATCH(A405,Брони!$A$2:$A$500,0)),""))</f>
        <v/>
      </c>
      <c r="D405" s="14" t="n"/>
      <c r="E405" s="10" t="n"/>
      <c r="F405" s="18" t="n"/>
      <c r="G405" s="18" t="n"/>
      <c r="H405" s="14" t="n"/>
      <c r="I405" s="14" t="n"/>
      <c r="J405" s="10" t="n"/>
      <c r="K405" s="15">
        <f>IF(OR(A405="",D405=""),"",D405-H405-I405)</f>
        <v/>
      </c>
      <c r="L405" s="12">
        <f>IF(K405="","",IF(K405&gt;0,"На руках",IF(I405&gt;0,IF(H405&gt;0,"Удержан частично","Удержан"),"Возвращён")))</f>
        <v/>
      </c>
      <c r="M405" s="10" t="n"/>
      <c r="N405" s="19">
        <f>IF(K405="","",IF(K405&gt;0,IFERROR(IF(INDEX(Брони!$F$2:$F$500,MATCH(A405,Брони!$A$2:$A$500,0))="Возвращена",TODAY()-INT(INDEX(Брони!$E$2:$E$500,MATCH(A405,Брони!$A$2:$A$500,0))),""),""),""))</f>
        <v/>
      </c>
      <c r="O405" s="19">
        <f>IF(OR(N405="",Настройки!$B$8=""),"",IF(N405&gt;Настройки!$B$8,1,""))</f>
        <v/>
      </c>
    </row>
    <row r="406">
      <c r="A406" s="9" t="n"/>
      <c r="B406" s="12">
        <f>IF(A406="","",IFERROR(INDEX(Брони!$C$2:$C$500,MATCH(A406,Брони!$A$2:$A$500,0)),""))</f>
        <v/>
      </c>
      <c r="C406" s="12">
        <f>IF(A406="","",IFERROR(INDEX(Брони!$B$2:$B$500,MATCH(A406,Брони!$A$2:$A$500,0)),""))</f>
        <v/>
      </c>
      <c r="D406" s="14" t="n"/>
      <c r="E406" s="10" t="n"/>
      <c r="F406" s="18" t="n"/>
      <c r="G406" s="18" t="n"/>
      <c r="H406" s="14" t="n"/>
      <c r="I406" s="14" t="n"/>
      <c r="J406" s="10" t="n"/>
      <c r="K406" s="15">
        <f>IF(OR(A406="",D406=""),"",D406-H406-I406)</f>
        <v/>
      </c>
      <c r="L406" s="12">
        <f>IF(K406="","",IF(K406&gt;0,"На руках",IF(I406&gt;0,IF(H406&gt;0,"Удержан частично","Удержан"),"Возвращён")))</f>
        <v/>
      </c>
      <c r="M406" s="10" t="n"/>
      <c r="N406" s="19">
        <f>IF(K406="","",IF(K406&gt;0,IFERROR(IF(INDEX(Брони!$F$2:$F$500,MATCH(A406,Брони!$A$2:$A$500,0))="Возвращена",TODAY()-INT(INDEX(Брони!$E$2:$E$500,MATCH(A406,Брони!$A$2:$A$500,0))),""),""),""))</f>
        <v/>
      </c>
      <c r="O406" s="19">
        <f>IF(OR(N406="",Настройки!$B$8=""),"",IF(N406&gt;Настройки!$B$8,1,""))</f>
        <v/>
      </c>
    </row>
    <row r="407">
      <c r="A407" s="9" t="n"/>
      <c r="B407" s="12">
        <f>IF(A407="","",IFERROR(INDEX(Брони!$C$2:$C$500,MATCH(A407,Брони!$A$2:$A$500,0)),""))</f>
        <v/>
      </c>
      <c r="C407" s="12">
        <f>IF(A407="","",IFERROR(INDEX(Брони!$B$2:$B$500,MATCH(A407,Брони!$A$2:$A$500,0)),""))</f>
        <v/>
      </c>
      <c r="D407" s="14" t="n"/>
      <c r="E407" s="10" t="n"/>
      <c r="F407" s="18" t="n"/>
      <c r="G407" s="18" t="n"/>
      <c r="H407" s="14" t="n"/>
      <c r="I407" s="14" t="n"/>
      <c r="J407" s="10" t="n"/>
      <c r="K407" s="15">
        <f>IF(OR(A407="",D407=""),"",D407-H407-I407)</f>
        <v/>
      </c>
      <c r="L407" s="12">
        <f>IF(K407="","",IF(K407&gt;0,"На руках",IF(I407&gt;0,IF(H407&gt;0,"Удержан частично","Удержан"),"Возвращён")))</f>
        <v/>
      </c>
      <c r="M407" s="10" t="n"/>
      <c r="N407" s="19">
        <f>IF(K407="","",IF(K407&gt;0,IFERROR(IF(INDEX(Брони!$F$2:$F$500,MATCH(A407,Брони!$A$2:$A$500,0))="Возвращена",TODAY()-INT(INDEX(Брони!$E$2:$E$500,MATCH(A407,Брони!$A$2:$A$500,0))),""),""),""))</f>
        <v/>
      </c>
      <c r="O407" s="19">
        <f>IF(OR(N407="",Настройки!$B$8=""),"",IF(N407&gt;Настройки!$B$8,1,""))</f>
        <v/>
      </c>
    </row>
    <row r="408">
      <c r="A408" s="9" t="n"/>
      <c r="B408" s="12">
        <f>IF(A408="","",IFERROR(INDEX(Брони!$C$2:$C$500,MATCH(A408,Брони!$A$2:$A$500,0)),""))</f>
        <v/>
      </c>
      <c r="C408" s="12">
        <f>IF(A408="","",IFERROR(INDEX(Брони!$B$2:$B$500,MATCH(A408,Брони!$A$2:$A$500,0)),""))</f>
        <v/>
      </c>
      <c r="D408" s="14" t="n"/>
      <c r="E408" s="10" t="n"/>
      <c r="F408" s="18" t="n"/>
      <c r="G408" s="18" t="n"/>
      <c r="H408" s="14" t="n"/>
      <c r="I408" s="14" t="n"/>
      <c r="J408" s="10" t="n"/>
      <c r="K408" s="15">
        <f>IF(OR(A408="",D408=""),"",D408-H408-I408)</f>
        <v/>
      </c>
      <c r="L408" s="12">
        <f>IF(K408="","",IF(K408&gt;0,"На руках",IF(I408&gt;0,IF(H408&gt;0,"Удержан частично","Удержан"),"Возвращён")))</f>
        <v/>
      </c>
      <c r="M408" s="10" t="n"/>
      <c r="N408" s="19">
        <f>IF(K408="","",IF(K408&gt;0,IFERROR(IF(INDEX(Брони!$F$2:$F$500,MATCH(A408,Брони!$A$2:$A$500,0))="Возвращена",TODAY()-INT(INDEX(Брони!$E$2:$E$500,MATCH(A408,Брони!$A$2:$A$500,0))),""),""),""))</f>
        <v/>
      </c>
      <c r="O408" s="19">
        <f>IF(OR(N408="",Настройки!$B$8=""),"",IF(N408&gt;Настройки!$B$8,1,""))</f>
        <v/>
      </c>
    </row>
    <row r="409">
      <c r="A409" s="9" t="n"/>
      <c r="B409" s="12">
        <f>IF(A409="","",IFERROR(INDEX(Брони!$C$2:$C$500,MATCH(A409,Брони!$A$2:$A$500,0)),""))</f>
        <v/>
      </c>
      <c r="C409" s="12">
        <f>IF(A409="","",IFERROR(INDEX(Брони!$B$2:$B$500,MATCH(A409,Брони!$A$2:$A$500,0)),""))</f>
        <v/>
      </c>
      <c r="D409" s="14" t="n"/>
      <c r="E409" s="10" t="n"/>
      <c r="F409" s="18" t="n"/>
      <c r="G409" s="18" t="n"/>
      <c r="H409" s="14" t="n"/>
      <c r="I409" s="14" t="n"/>
      <c r="J409" s="10" t="n"/>
      <c r="K409" s="15">
        <f>IF(OR(A409="",D409=""),"",D409-H409-I409)</f>
        <v/>
      </c>
      <c r="L409" s="12">
        <f>IF(K409="","",IF(K409&gt;0,"На руках",IF(I409&gt;0,IF(H409&gt;0,"Удержан частично","Удержан"),"Возвращён")))</f>
        <v/>
      </c>
      <c r="M409" s="10" t="n"/>
      <c r="N409" s="19">
        <f>IF(K409="","",IF(K409&gt;0,IFERROR(IF(INDEX(Брони!$F$2:$F$500,MATCH(A409,Брони!$A$2:$A$500,0))="Возвращена",TODAY()-INT(INDEX(Брони!$E$2:$E$500,MATCH(A409,Брони!$A$2:$A$500,0))),""),""),""))</f>
        <v/>
      </c>
      <c r="O409" s="19">
        <f>IF(OR(N409="",Настройки!$B$8=""),"",IF(N409&gt;Настройки!$B$8,1,""))</f>
        <v/>
      </c>
    </row>
    <row r="410">
      <c r="A410" s="9" t="n"/>
      <c r="B410" s="12">
        <f>IF(A410="","",IFERROR(INDEX(Брони!$C$2:$C$500,MATCH(A410,Брони!$A$2:$A$500,0)),""))</f>
        <v/>
      </c>
      <c r="C410" s="12">
        <f>IF(A410="","",IFERROR(INDEX(Брони!$B$2:$B$500,MATCH(A410,Брони!$A$2:$A$500,0)),""))</f>
        <v/>
      </c>
      <c r="D410" s="14" t="n"/>
      <c r="E410" s="10" t="n"/>
      <c r="F410" s="18" t="n"/>
      <c r="G410" s="18" t="n"/>
      <c r="H410" s="14" t="n"/>
      <c r="I410" s="14" t="n"/>
      <c r="J410" s="10" t="n"/>
      <c r="K410" s="15">
        <f>IF(OR(A410="",D410=""),"",D410-H410-I410)</f>
        <v/>
      </c>
      <c r="L410" s="12">
        <f>IF(K410="","",IF(K410&gt;0,"На руках",IF(I410&gt;0,IF(H410&gt;0,"Удержан частично","Удержан"),"Возвращён")))</f>
        <v/>
      </c>
      <c r="M410" s="10" t="n"/>
      <c r="N410" s="19">
        <f>IF(K410="","",IF(K410&gt;0,IFERROR(IF(INDEX(Брони!$F$2:$F$500,MATCH(A410,Брони!$A$2:$A$500,0))="Возвращена",TODAY()-INT(INDEX(Брони!$E$2:$E$500,MATCH(A410,Брони!$A$2:$A$500,0))),""),""),""))</f>
        <v/>
      </c>
      <c r="O410" s="19">
        <f>IF(OR(N410="",Настройки!$B$8=""),"",IF(N410&gt;Настройки!$B$8,1,""))</f>
        <v/>
      </c>
    </row>
    <row r="411">
      <c r="A411" s="9" t="n"/>
      <c r="B411" s="12">
        <f>IF(A411="","",IFERROR(INDEX(Брони!$C$2:$C$500,MATCH(A411,Брони!$A$2:$A$500,0)),""))</f>
        <v/>
      </c>
      <c r="C411" s="12">
        <f>IF(A411="","",IFERROR(INDEX(Брони!$B$2:$B$500,MATCH(A411,Брони!$A$2:$A$500,0)),""))</f>
        <v/>
      </c>
      <c r="D411" s="14" t="n"/>
      <c r="E411" s="10" t="n"/>
      <c r="F411" s="18" t="n"/>
      <c r="G411" s="18" t="n"/>
      <c r="H411" s="14" t="n"/>
      <c r="I411" s="14" t="n"/>
      <c r="J411" s="10" t="n"/>
      <c r="K411" s="15">
        <f>IF(OR(A411="",D411=""),"",D411-H411-I411)</f>
        <v/>
      </c>
      <c r="L411" s="12">
        <f>IF(K411="","",IF(K411&gt;0,"На руках",IF(I411&gt;0,IF(H411&gt;0,"Удержан частично","Удержан"),"Возвращён")))</f>
        <v/>
      </c>
      <c r="M411" s="10" t="n"/>
      <c r="N411" s="19">
        <f>IF(K411="","",IF(K411&gt;0,IFERROR(IF(INDEX(Брони!$F$2:$F$500,MATCH(A411,Брони!$A$2:$A$500,0))="Возвращена",TODAY()-INT(INDEX(Брони!$E$2:$E$500,MATCH(A411,Брони!$A$2:$A$500,0))),""),""),""))</f>
        <v/>
      </c>
      <c r="O411" s="19">
        <f>IF(OR(N411="",Настройки!$B$8=""),"",IF(N411&gt;Настройки!$B$8,1,""))</f>
        <v/>
      </c>
    </row>
    <row r="412">
      <c r="A412" s="9" t="n"/>
      <c r="B412" s="12">
        <f>IF(A412="","",IFERROR(INDEX(Брони!$C$2:$C$500,MATCH(A412,Брони!$A$2:$A$500,0)),""))</f>
        <v/>
      </c>
      <c r="C412" s="12">
        <f>IF(A412="","",IFERROR(INDEX(Брони!$B$2:$B$500,MATCH(A412,Брони!$A$2:$A$500,0)),""))</f>
        <v/>
      </c>
      <c r="D412" s="14" t="n"/>
      <c r="E412" s="10" t="n"/>
      <c r="F412" s="18" t="n"/>
      <c r="G412" s="18" t="n"/>
      <c r="H412" s="14" t="n"/>
      <c r="I412" s="14" t="n"/>
      <c r="J412" s="10" t="n"/>
      <c r="K412" s="15">
        <f>IF(OR(A412="",D412=""),"",D412-H412-I412)</f>
        <v/>
      </c>
      <c r="L412" s="12">
        <f>IF(K412="","",IF(K412&gt;0,"На руках",IF(I412&gt;0,IF(H412&gt;0,"Удержан частично","Удержан"),"Возвращён")))</f>
        <v/>
      </c>
      <c r="M412" s="10" t="n"/>
      <c r="N412" s="19">
        <f>IF(K412="","",IF(K412&gt;0,IFERROR(IF(INDEX(Брони!$F$2:$F$500,MATCH(A412,Брони!$A$2:$A$500,0))="Возвращена",TODAY()-INT(INDEX(Брони!$E$2:$E$500,MATCH(A412,Брони!$A$2:$A$500,0))),""),""),""))</f>
        <v/>
      </c>
      <c r="O412" s="19">
        <f>IF(OR(N412="",Настройки!$B$8=""),"",IF(N412&gt;Настройки!$B$8,1,""))</f>
        <v/>
      </c>
    </row>
    <row r="413">
      <c r="A413" s="9" t="n"/>
      <c r="B413" s="12">
        <f>IF(A413="","",IFERROR(INDEX(Брони!$C$2:$C$500,MATCH(A413,Брони!$A$2:$A$500,0)),""))</f>
        <v/>
      </c>
      <c r="C413" s="12">
        <f>IF(A413="","",IFERROR(INDEX(Брони!$B$2:$B$500,MATCH(A413,Брони!$A$2:$A$500,0)),""))</f>
        <v/>
      </c>
      <c r="D413" s="14" t="n"/>
      <c r="E413" s="10" t="n"/>
      <c r="F413" s="18" t="n"/>
      <c r="G413" s="18" t="n"/>
      <c r="H413" s="14" t="n"/>
      <c r="I413" s="14" t="n"/>
      <c r="J413" s="10" t="n"/>
      <c r="K413" s="15">
        <f>IF(OR(A413="",D413=""),"",D413-H413-I413)</f>
        <v/>
      </c>
      <c r="L413" s="12">
        <f>IF(K413="","",IF(K413&gt;0,"На руках",IF(I413&gt;0,IF(H413&gt;0,"Удержан частично","Удержан"),"Возвращён")))</f>
        <v/>
      </c>
      <c r="M413" s="10" t="n"/>
      <c r="N413" s="19">
        <f>IF(K413="","",IF(K413&gt;0,IFERROR(IF(INDEX(Брони!$F$2:$F$500,MATCH(A413,Брони!$A$2:$A$500,0))="Возвращена",TODAY()-INT(INDEX(Брони!$E$2:$E$500,MATCH(A413,Брони!$A$2:$A$500,0))),""),""),""))</f>
        <v/>
      </c>
      <c r="O413" s="19">
        <f>IF(OR(N413="",Настройки!$B$8=""),"",IF(N413&gt;Настройки!$B$8,1,""))</f>
        <v/>
      </c>
    </row>
    <row r="414">
      <c r="A414" s="9" t="n"/>
      <c r="B414" s="12">
        <f>IF(A414="","",IFERROR(INDEX(Брони!$C$2:$C$500,MATCH(A414,Брони!$A$2:$A$500,0)),""))</f>
        <v/>
      </c>
      <c r="C414" s="12">
        <f>IF(A414="","",IFERROR(INDEX(Брони!$B$2:$B$500,MATCH(A414,Брони!$A$2:$A$500,0)),""))</f>
        <v/>
      </c>
      <c r="D414" s="14" t="n"/>
      <c r="E414" s="10" t="n"/>
      <c r="F414" s="18" t="n"/>
      <c r="G414" s="18" t="n"/>
      <c r="H414" s="14" t="n"/>
      <c r="I414" s="14" t="n"/>
      <c r="J414" s="10" t="n"/>
      <c r="K414" s="15">
        <f>IF(OR(A414="",D414=""),"",D414-H414-I414)</f>
        <v/>
      </c>
      <c r="L414" s="12">
        <f>IF(K414="","",IF(K414&gt;0,"На руках",IF(I414&gt;0,IF(H414&gt;0,"Удержан частично","Удержан"),"Возвращён")))</f>
        <v/>
      </c>
      <c r="M414" s="10" t="n"/>
      <c r="N414" s="19">
        <f>IF(K414="","",IF(K414&gt;0,IFERROR(IF(INDEX(Брони!$F$2:$F$500,MATCH(A414,Брони!$A$2:$A$500,0))="Возвращена",TODAY()-INT(INDEX(Брони!$E$2:$E$500,MATCH(A414,Брони!$A$2:$A$500,0))),""),""),""))</f>
        <v/>
      </c>
      <c r="O414" s="19">
        <f>IF(OR(N414="",Настройки!$B$8=""),"",IF(N414&gt;Настройки!$B$8,1,""))</f>
        <v/>
      </c>
    </row>
    <row r="415">
      <c r="A415" s="9" t="n"/>
      <c r="B415" s="12">
        <f>IF(A415="","",IFERROR(INDEX(Брони!$C$2:$C$500,MATCH(A415,Брони!$A$2:$A$500,0)),""))</f>
        <v/>
      </c>
      <c r="C415" s="12">
        <f>IF(A415="","",IFERROR(INDEX(Брони!$B$2:$B$500,MATCH(A415,Брони!$A$2:$A$500,0)),""))</f>
        <v/>
      </c>
      <c r="D415" s="14" t="n"/>
      <c r="E415" s="10" t="n"/>
      <c r="F415" s="18" t="n"/>
      <c r="G415" s="18" t="n"/>
      <c r="H415" s="14" t="n"/>
      <c r="I415" s="14" t="n"/>
      <c r="J415" s="10" t="n"/>
      <c r="K415" s="15">
        <f>IF(OR(A415="",D415=""),"",D415-H415-I415)</f>
        <v/>
      </c>
      <c r="L415" s="12">
        <f>IF(K415="","",IF(K415&gt;0,"На руках",IF(I415&gt;0,IF(H415&gt;0,"Удержан частично","Удержан"),"Возвращён")))</f>
        <v/>
      </c>
      <c r="M415" s="10" t="n"/>
      <c r="N415" s="19">
        <f>IF(K415="","",IF(K415&gt;0,IFERROR(IF(INDEX(Брони!$F$2:$F$500,MATCH(A415,Брони!$A$2:$A$500,0))="Возвращена",TODAY()-INT(INDEX(Брони!$E$2:$E$500,MATCH(A415,Брони!$A$2:$A$500,0))),""),""),""))</f>
        <v/>
      </c>
      <c r="O415" s="19">
        <f>IF(OR(N415="",Настройки!$B$8=""),"",IF(N415&gt;Настройки!$B$8,1,""))</f>
        <v/>
      </c>
    </row>
    <row r="416">
      <c r="A416" s="9" t="n"/>
      <c r="B416" s="12">
        <f>IF(A416="","",IFERROR(INDEX(Брони!$C$2:$C$500,MATCH(A416,Брони!$A$2:$A$500,0)),""))</f>
        <v/>
      </c>
      <c r="C416" s="12">
        <f>IF(A416="","",IFERROR(INDEX(Брони!$B$2:$B$500,MATCH(A416,Брони!$A$2:$A$500,0)),""))</f>
        <v/>
      </c>
      <c r="D416" s="14" t="n"/>
      <c r="E416" s="10" t="n"/>
      <c r="F416" s="18" t="n"/>
      <c r="G416" s="18" t="n"/>
      <c r="H416" s="14" t="n"/>
      <c r="I416" s="14" t="n"/>
      <c r="J416" s="10" t="n"/>
      <c r="K416" s="15">
        <f>IF(OR(A416="",D416=""),"",D416-H416-I416)</f>
        <v/>
      </c>
      <c r="L416" s="12">
        <f>IF(K416="","",IF(K416&gt;0,"На руках",IF(I416&gt;0,IF(H416&gt;0,"Удержан частично","Удержан"),"Возвращён")))</f>
        <v/>
      </c>
      <c r="M416" s="10" t="n"/>
      <c r="N416" s="19">
        <f>IF(K416="","",IF(K416&gt;0,IFERROR(IF(INDEX(Брони!$F$2:$F$500,MATCH(A416,Брони!$A$2:$A$500,0))="Возвращена",TODAY()-INT(INDEX(Брони!$E$2:$E$500,MATCH(A416,Брони!$A$2:$A$500,0))),""),""),""))</f>
        <v/>
      </c>
      <c r="O416" s="19">
        <f>IF(OR(N416="",Настройки!$B$8=""),"",IF(N416&gt;Настройки!$B$8,1,""))</f>
        <v/>
      </c>
    </row>
    <row r="417">
      <c r="A417" s="9" t="n"/>
      <c r="B417" s="12">
        <f>IF(A417="","",IFERROR(INDEX(Брони!$C$2:$C$500,MATCH(A417,Брони!$A$2:$A$500,0)),""))</f>
        <v/>
      </c>
      <c r="C417" s="12">
        <f>IF(A417="","",IFERROR(INDEX(Брони!$B$2:$B$500,MATCH(A417,Брони!$A$2:$A$500,0)),""))</f>
        <v/>
      </c>
      <c r="D417" s="14" t="n"/>
      <c r="E417" s="10" t="n"/>
      <c r="F417" s="18" t="n"/>
      <c r="G417" s="18" t="n"/>
      <c r="H417" s="14" t="n"/>
      <c r="I417" s="14" t="n"/>
      <c r="J417" s="10" t="n"/>
      <c r="K417" s="15">
        <f>IF(OR(A417="",D417=""),"",D417-H417-I417)</f>
        <v/>
      </c>
      <c r="L417" s="12">
        <f>IF(K417="","",IF(K417&gt;0,"На руках",IF(I417&gt;0,IF(H417&gt;0,"Удержан частично","Удержан"),"Возвращён")))</f>
        <v/>
      </c>
      <c r="M417" s="10" t="n"/>
      <c r="N417" s="19">
        <f>IF(K417="","",IF(K417&gt;0,IFERROR(IF(INDEX(Брони!$F$2:$F$500,MATCH(A417,Брони!$A$2:$A$500,0))="Возвращена",TODAY()-INT(INDEX(Брони!$E$2:$E$500,MATCH(A417,Брони!$A$2:$A$500,0))),""),""),""))</f>
        <v/>
      </c>
      <c r="O417" s="19">
        <f>IF(OR(N417="",Настройки!$B$8=""),"",IF(N417&gt;Настройки!$B$8,1,""))</f>
        <v/>
      </c>
    </row>
    <row r="418">
      <c r="A418" s="9" t="n"/>
      <c r="B418" s="12">
        <f>IF(A418="","",IFERROR(INDEX(Брони!$C$2:$C$500,MATCH(A418,Брони!$A$2:$A$500,0)),""))</f>
        <v/>
      </c>
      <c r="C418" s="12">
        <f>IF(A418="","",IFERROR(INDEX(Брони!$B$2:$B$500,MATCH(A418,Брони!$A$2:$A$500,0)),""))</f>
        <v/>
      </c>
      <c r="D418" s="14" t="n"/>
      <c r="E418" s="10" t="n"/>
      <c r="F418" s="18" t="n"/>
      <c r="G418" s="18" t="n"/>
      <c r="H418" s="14" t="n"/>
      <c r="I418" s="14" t="n"/>
      <c r="J418" s="10" t="n"/>
      <c r="K418" s="15">
        <f>IF(OR(A418="",D418=""),"",D418-H418-I418)</f>
        <v/>
      </c>
      <c r="L418" s="12">
        <f>IF(K418="","",IF(K418&gt;0,"На руках",IF(I418&gt;0,IF(H418&gt;0,"Удержан частично","Удержан"),"Возвращён")))</f>
        <v/>
      </c>
      <c r="M418" s="10" t="n"/>
      <c r="N418" s="19">
        <f>IF(K418="","",IF(K418&gt;0,IFERROR(IF(INDEX(Брони!$F$2:$F$500,MATCH(A418,Брони!$A$2:$A$500,0))="Возвращена",TODAY()-INT(INDEX(Брони!$E$2:$E$500,MATCH(A418,Брони!$A$2:$A$500,0))),""),""),""))</f>
        <v/>
      </c>
      <c r="O418" s="19">
        <f>IF(OR(N418="",Настройки!$B$8=""),"",IF(N418&gt;Настройки!$B$8,1,""))</f>
        <v/>
      </c>
    </row>
    <row r="419">
      <c r="A419" s="9" t="n"/>
      <c r="B419" s="12">
        <f>IF(A419="","",IFERROR(INDEX(Брони!$C$2:$C$500,MATCH(A419,Брони!$A$2:$A$500,0)),""))</f>
        <v/>
      </c>
      <c r="C419" s="12">
        <f>IF(A419="","",IFERROR(INDEX(Брони!$B$2:$B$500,MATCH(A419,Брони!$A$2:$A$500,0)),""))</f>
        <v/>
      </c>
      <c r="D419" s="14" t="n"/>
      <c r="E419" s="10" t="n"/>
      <c r="F419" s="18" t="n"/>
      <c r="G419" s="18" t="n"/>
      <c r="H419" s="14" t="n"/>
      <c r="I419" s="14" t="n"/>
      <c r="J419" s="10" t="n"/>
      <c r="K419" s="15">
        <f>IF(OR(A419="",D419=""),"",D419-H419-I419)</f>
        <v/>
      </c>
      <c r="L419" s="12">
        <f>IF(K419="","",IF(K419&gt;0,"На руках",IF(I419&gt;0,IF(H419&gt;0,"Удержан частично","Удержан"),"Возвращён")))</f>
        <v/>
      </c>
      <c r="M419" s="10" t="n"/>
      <c r="N419" s="19">
        <f>IF(K419="","",IF(K419&gt;0,IFERROR(IF(INDEX(Брони!$F$2:$F$500,MATCH(A419,Брони!$A$2:$A$500,0))="Возвращена",TODAY()-INT(INDEX(Брони!$E$2:$E$500,MATCH(A419,Брони!$A$2:$A$500,0))),""),""),""))</f>
        <v/>
      </c>
      <c r="O419" s="19">
        <f>IF(OR(N419="",Настройки!$B$8=""),"",IF(N419&gt;Настройки!$B$8,1,""))</f>
        <v/>
      </c>
    </row>
    <row r="420">
      <c r="A420" s="9" t="n"/>
      <c r="B420" s="12">
        <f>IF(A420="","",IFERROR(INDEX(Брони!$C$2:$C$500,MATCH(A420,Брони!$A$2:$A$500,0)),""))</f>
        <v/>
      </c>
      <c r="C420" s="12">
        <f>IF(A420="","",IFERROR(INDEX(Брони!$B$2:$B$500,MATCH(A420,Брони!$A$2:$A$500,0)),""))</f>
        <v/>
      </c>
      <c r="D420" s="14" t="n"/>
      <c r="E420" s="10" t="n"/>
      <c r="F420" s="18" t="n"/>
      <c r="G420" s="18" t="n"/>
      <c r="H420" s="14" t="n"/>
      <c r="I420" s="14" t="n"/>
      <c r="J420" s="10" t="n"/>
      <c r="K420" s="15">
        <f>IF(OR(A420="",D420=""),"",D420-H420-I420)</f>
        <v/>
      </c>
      <c r="L420" s="12">
        <f>IF(K420="","",IF(K420&gt;0,"На руках",IF(I420&gt;0,IF(H420&gt;0,"Удержан частично","Удержан"),"Возвращён")))</f>
        <v/>
      </c>
      <c r="M420" s="10" t="n"/>
      <c r="N420" s="19">
        <f>IF(K420="","",IF(K420&gt;0,IFERROR(IF(INDEX(Брони!$F$2:$F$500,MATCH(A420,Брони!$A$2:$A$500,0))="Возвращена",TODAY()-INT(INDEX(Брони!$E$2:$E$500,MATCH(A420,Брони!$A$2:$A$500,0))),""),""),""))</f>
        <v/>
      </c>
      <c r="O420" s="19">
        <f>IF(OR(N420="",Настройки!$B$8=""),"",IF(N420&gt;Настройки!$B$8,1,""))</f>
        <v/>
      </c>
    </row>
    <row r="421">
      <c r="A421" s="9" t="n"/>
      <c r="B421" s="12">
        <f>IF(A421="","",IFERROR(INDEX(Брони!$C$2:$C$500,MATCH(A421,Брони!$A$2:$A$500,0)),""))</f>
        <v/>
      </c>
      <c r="C421" s="12">
        <f>IF(A421="","",IFERROR(INDEX(Брони!$B$2:$B$500,MATCH(A421,Брони!$A$2:$A$500,0)),""))</f>
        <v/>
      </c>
      <c r="D421" s="14" t="n"/>
      <c r="E421" s="10" t="n"/>
      <c r="F421" s="18" t="n"/>
      <c r="G421" s="18" t="n"/>
      <c r="H421" s="14" t="n"/>
      <c r="I421" s="14" t="n"/>
      <c r="J421" s="10" t="n"/>
      <c r="K421" s="15">
        <f>IF(OR(A421="",D421=""),"",D421-H421-I421)</f>
        <v/>
      </c>
      <c r="L421" s="12">
        <f>IF(K421="","",IF(K421&gt;0,"На руках",IF(I421&gt;0,IF(H421&gt;0,"Удержан частично","Удержан"),"Возвращён")))</f>
        <v/>
      </c>
      <c r="M421" s="10" t="n"/>
      <c r="N421" s="19">
        <f>IF(K421="","",IF(K421&gt;0,IFERROR(IF(INDEX(Брони!$F$2:$F$500,MATCH(A421,Брони!$A$2:$A$500,0))="Возвращена",TODAY()-INT(INDEX(Брони!$E$2:$E$500,MATCH(A421,Брони!$A$2:$A$500,0))),""),""),""))</f>
        <v/>
      </c>
      <c r="O421" s="19">
        <f>IF(OR(N421="",Настройки!$B$8=""),"",IF(N421&gt;Настройки!$B$8,1,""))</f>
        <v/>
      </c>
    </row>
    <row r="422">
      <c r="A422" s="9" t="n"/>
      <c r="B422" s="12">
        <f>IF(A422="","",IFERROR(INDEX(Брони!$C$2:$C$500,MATCH(A422,Брони!$A$2:$A$500,0)),""))</f>
        <v/>
      </c>
      <c r="C422" s="12">
        <f>IF(A422="","",IFERROR(INDEX(Брони!$B$2:$B$500,MATCH(A422,Брони!$A$2:$A$500,0)),""))</f>
        <v/>
      </c>
      <c r="D422" s="14" t="n"/>
      <c r="E422" s="10" t="n"/>
      <c r="F422" s="18" t="n"/>
      <c r="G422" s="18" t="n"/>
      <c r="H422" s="14" t="n"/>
      <c r="I422" s="14" t="n"/>
      <c r="J422" s="10" t="n"/>
      <c r="K422" s="15">
        <f>IF(OR(A422="",D422=""),"",D422-H422-I422)</f>
        <v/>
      </c>
      <c r="L422" s="12">
        <f>IF(K422="","",IF(K422&gt;0,"На руках",IF(I422&gt;0,IF(H422&gt;0,"Удержан частично","Удержан"),"Возвращён")))</f>
        <v/>
      </c>
      <c r="M422" s="10" t="n"/>
      <c r="N422" s="19">
        <f>IF(K422="","",IF(K422&gt;0,IFERROR(IF(INDEX(Брони!$F$2:$F$500,MATCH(A422,Брони!$A$2:$A$500,0))="Возвращена",TODAY()-INT(INDEX(Брони!$E$2:$E$500,MATCH(A422,Брони!$A$2:$A$500,0))),""),""),""))</f>
        <v/>
      </c>
      <c r="O422" s="19">
        <f>IF(OR(N422="",Настройки!$B$8=""),"",IF(N422&gt;Настройки!$B$8,1,""))</f>
        <v/>
      </c>
    </row>
    <row r="423">
      <c r="A423" s="9" t="n"/>
      <c r="B423" s="12">
        <f>IF(A423="","",IFERROR(INDEX(Брони!$C$2:$C$500,MATCH(A423,Брони!$A$2:$A$500,0)),""))</f>
        <v/>
      </c>
      <c r="C423" s="12">
        <f>IF(A423="","",IFERROR(INDEX(Брони!$B$2:$B$500,MATCH(A423,Брони!$A$2:$A$500,0)),""))</f>
        <v/>
      </c>
      <c r="D423" s="14" t="n"/>
      <c r="E423" s="10" t="n"/>
      <c r="F423" s="18" t="n"/>
      <c r="G423" s="18" t="n"/>
      <c r="H423" s="14" t="n"/>
      <c r="I423" s="14" t="n"/>
      <c r="J423" s="10" t="n"/>
      <c r="K423" s="15">
        <f>IF(OR(A423="",D423=""),"",D423-H423-I423)</f>
        <v/>
      </c>
      <c r="L423" s="12">
        <f>IF(K423="","",IF(K423&gt;0,"На руках",IF(I423&gt;0,IF(H423&gt;0,"Удержан частично","Удержан"),"Возвращён")))</f>
        <v/>
      </c>
      <c r="M423" s="10" t="n"/>
      <c r="N423" s="19">
        <f>IF(K423="","",IF(K423&gt;0,IFERROR(IF(INDEX(Брони!$F$2:$F$500,MATCH(A423,Брони!$A$2:$A$500,0))="Возвращена",TODAY()-INT(INDEX(Брони!$E$2:$E$500,MATCH(A423,Брони!$A$2:$A$500,0))),""),""),""))</f>
        <v/>
      </c>
      <c r="O423" s="19">
        <f>IF(OR(N423="",Настройки!$B$8=""),"",IF(N423&gt;Настройки!$B$8,1,""))</f>
        <v/>
      </c>
    </row>
    <row r="424">
      <c r="A424" s="9" t="n"/>
      <c r="B424" s="12">
        <f>IF(A424="","",IFERROR(INDEX(Брони!$C$2:$C$500,MATCH(A424,Брони!$A$2:$A$500,0)),""))</f>
        <v/>
      </c>
      <c r="C424" s="12">
        <f>IF(A424="","",IFERROR(INDEX(Брони!$B$2:$B$500,MATCH(A424,Брони!$A$2:$A$500,0)),""))</f>
        <v/>
      </c>
      <c r="D424" s="14" t="n"/>
      <c r="E424" s="10" t="n"/>
      <c r="F424" s="18" t="n"/>
      <c r="G424" s="18" t="n"/>
      <c r="H424" s="14" t="n"/>
      <c r="I424" s="14" t="n"/>
      <c r="J424" s="10" t="n"/>
      <c r="K424" s="15">
        <f>IF(OR(A424="",D424=""),"",D424-H424-I424)</f>
        <v/>
      </c>
      <c r="L424" s="12">
        <f>IF(K424="","",IF(K424&gt;0,"На руках",IF(I424&gt;0,IF(H424&gt;0,"Удержан частично","Удержан"),"Возвращён")))</f>
        <v/>
      </c>
      <c r="M424" s="10" t="n"/>
      <c r="N424" s="19">
        <f>IF(K424="","",IF(K424&gt;0,IFERROR(IF(INDEX(Брони!$F$2:$F$500,MATCH(A424,Брони!$A$2:$A$500,0))="Возвращена",TODAY()-INT(INDEX(Брони!$E$2:$E$500,MATCH(A424,Брони!$A$2:$A$500,0))),""),""),""))</f>
        <v/>
      </c>
      <c r="O424" s="19">
        <f>IF(OR(N424="",Настройки!$B$8=""),"",IF(N424&gt;Настройки!$B$8,1,""))</f>
        <v/>
      </c>
    </row>
    <row r="425">
      <c r="A425" s="9" t="n"/>
      <c r="B425" s="12">
        <f>IF(A425="","",IFERROR(INDEX(Брони!$C$2:$C$500,MATCH(A425,Брони!$A$2:$A$500,0)),""))</f>
        <v/>
      </c>
      <c r="C425" s="12">
        <f>IF(A425="","",IFERROR(INDEX(Брони!$B$2:$B$500,MATCH(A425,Брони!$A$2:$A$500,0)),""))</f>
        <v/>
      </c>
      <c r="D425" s="14" t="n"/>
      <c r="E425" s="10" t="n"/>
      <c r="F425" s="18" t="n"/>
      <c r="G425" s="18" t="n"/>
      <c r="H425" s="14" t="n"/>
      <c r="I425" s="14" t="n"/>
      <c r="J425" s="10" t="n"/>
      <c r="K425" s="15">
        <f>IF(OR(A425="",D425=""),"",D425-H425-I425)</f>
        <v/>
      </c>
      <c r="L425" s="12">
        <f>IF(K425="","",IF(K425&gt;0,"На руках",IF(I425&gt;0,IF(H425&gt;0,"Удержан частично","Удержан"),"Возвращён")))</f>
        <v/>
      </c>
      <c r="M425" s="10" t="n"/>
      <c r="N425" s="19">
        <f>IF(K425="","",IF(K425&gt;0,IFERROR(IF(INDEX(Брони!$F$2:$F$500,MATCH(A425,Брони!$A$2:$A$500,0))="Возвращена",TODAY()-INT(INDEX(Брони!$E$2:$E$500,MATCH(A425,Брони!$A$2:$A$500,0))),""),""),""))</f>
        <v/>
      </c>
      <c r="O425" s="19">
        <f>IF(OR(N425="",Настройки!$B$8=""),"",IF(N425&gt;Настройки!$B$8,1,""))</f>
        <v/>
      </c>
    </row>
    <row r="426">
      <c r="A426" s="9" t="n"/>
      <c r="B426" s="12">
        <f>IF(A426="","",IFERROR(INDEX(Брони!$C$2:$C$500,MATCH(A426,Брони!$A$2:$A$500,0)),""))</f>
        <v/>
      </c>
      <c r="C426" s="12">
        <f>IF(A426="","",IFERROR(INDEX(Брони!$B$2:$B$500,MATCH(A426,Брони!$A$2:$A$500,0)),""))</f>
        <v/>
      </c>
      <c r="D426" s="14" t="n"/>
      <c r="E426" s="10" t="n"/>
      <c r="F426" s="18" t="n"/>
      <c r="G426" s="18" t="n"/>
      <c r="H426" s="14" t="n"/>
      <c r="I426" s="14" t="n"/>
      <c r="J426" s="10" t="n"/>
      <c r="K426" s="15">
        <f>IF(OR(A426="",D426=""),"",D426-H426-I426)</f>
        <v/>
      </c>
      <c r="L426" s="12">
        <f>IF(K426="","",IF(K426&gt;0,"На руках",IF(I426&gt;0,IF(H426&gt;0,"Удержан частично","Удержан"),"Возвращён")))</f>
        <v/>
      </c>
      <c r="M426" s="10" t="n"/>
      <c r="N426" s="19">
        <f>IF(K426="","",IF(K426&gt;0,IFERROR(IF(INDEX(Брони!$F$2:$F$500,MATCH(A426,Брони!$A$2:$A$500,0))="Возвращена",TODAY()-INT(INDEX(Брони!$E$2:$E$500,MATCH(A426,Брони!$A$2:$A$500,0))),""),""),""))</f>
        <v/>
      </c>
      <c r="O426" s="19">
        <f>IF(OR(N426="",Настройки!$B$8=""),"",IF(N426&gt;Настройки!$B$8,1,""))</f>
        <v/>
      </c>
    </row>
    <row r="427">
      <c r="A427" s="9" t="n"/>
      <c r="B427" s="12">
        <f>IF(A427="","",IFERROR(INDEX(Брони!$C$2:$C$500,MATCH(A427,Брони!$A$2:$A$500,0)),""))</f>
        <v/>
      </c>
      <c r="C427" s="12">
        <f>IF(A427="","",IFERROR(INDEX(Брони!$B$2:$B$500,MATCH(A427,Брони!$A$2:$A$500,0)),""))</f>
        <v/>
      </c>
      <c r="D427" s="14" t="n"/>
      <c r="E427" s="10" t="n"/>
      <c r="F427" s="18" t="n"/>
      <c r="G427" s="18" t="n"/>
      <c r="H427" s="14" t="n"/>
      <c r="I427" s="14" t="n"/>
      <c r="J427" s="10" t="n"/>
      <c r="K427" s="15">
        <f>IF(OR(A427="",D427=""),"",D427-H427-I427)</f>
        <v/>
      </c>
      <c r="L427" s="12">
        <f>IF(K427="","",IF(K427&gt;0,"На руках",IF(I427&gt;0,IF(H427&gt;0,"Удержан частично","Удержан"),"Возвращён")))</f>
        <v/>
      </c>
      <c r="M427" s="10" t="n"/>
      <c r="N427" s="19">
        <f>IF(K427="","",IF(K427&gt;0,IFERROR(IF(INDEX(Брони!$F$2:$F$500,MATCH(A427,Брони!$A$2:$A$500,0))="Возвращена",TODAY()-INT(INDEX(Брони!$E$2:$E$500,MATCH(A427,Брони!$A$2:$A$500,0))),""),""),""))</f>
        <v/>
      </c>
      <c r="O427" s="19">
        <f>IF(OR(N427="",Настройки!$B$8=""),"",IF(N427&gt;Настройки!$B$8,1,""))</f>
        <v/>
      </c>
    </row>
    <row r="428">
      <c r="A428" s="9" t="n"/>
      <c r="B428" s="12">
        <f>IF(A428="","",IFERROR(INDEX(Брони!$C$2:$C$500,MATCH(A428,Брони!$A$2:$A$500,0)),""))</f>
        <v/>
      </c>
      <c r="C428" s="12">
        <f>IF(A428="","",IFERROR(INDEX(Брони!$B$2:$B$500,MATCH(A428,Брони!$A$2:$A$500,0)),""))</f>
        <v/>
      </c>
      <c r="D428" s="14" t="n"/>
      <c r="E428" s="10" t="n"/>
      <c r="F428" s="18" t="n"/>
      <c r="G428" s="18" t="n"/>
      <c r="H428" s="14" t="n"/>
      <c r="I428" s="14" t="n"/>
      <c r="J428" s="10" t="n"/>
      <c r="K428" s="15">
        <f>IF(OR(A428="",D428=""),"",D428-H428-I428)</f>
        <v/>
      </c>
      <c r="L428" s="12">
        <f>IF(K428="","",IF(K428&gt;0,"На руках",IF(I428&gt;0,IF(H428&gt;0,"Удержан частично","Удержан"),"Возвращён")))</f>
        <v/>
      </c>
      <c r="M428" s="10" t="n"/>
      <c r="N428" s="19">
        <f>IF(K428="","",IF(K428&gt;0,IFERROR(IF(INDEX(Брони!$F$2:$F$500,MATCH(A428,Брони!$A$2:$A$500,0))="Возвращена",TODAY()-INT(INDEX(Брони!$E$2:$E$500,MATCH(A428,Брони!$A$2:$A$500,0))),""),""),""))</f>
        <v/>
      </c>
      <c r="O428" s="19">
        <f>IF(OR(N428="",Настройки!$B$8=""),"",IF(N428&gt;Настройки!$B$8,1,""))</f>
        <v/>
      </c>
    </row>
    <row r="429">
      <c r="A429" s="9" t="n"/>
      <c r="B429" s="12">
        <f>IF(A429="","",IFERROR(INDEX(Брони!$C$2:$C$500,MATCH(A429,Брони!$A$2:$A$500,0)),""))</f>
        <v/>
      </c>
      <c r="C429" s="12">
        <f>IF(A429="","",IFERROR(INDEX(Брони!$B$2:$B$500,MATCH(A429,Брони!$A$2:$A$500,0)),""))</f>
        <v/>
      </c>
      <c r="D429" s="14" t="n"/>
      <c r="E429" s="10" t="n"/>
      <c r="F429" s="18" t="n"/>
      <c r="G429" s="18" t="n"/>
      <c r="H429" s="14" t="n"/>
      <c r="I429" s="14" t="n"/>
      <c r="J429" s="10" t="n"/>
      <c r="K429" s="15">
        <f>IF(OR(A429="",D429=""),"",D429-H429-I429)</f>
        <v/>
      </c>
      <c r="L429" s="12">
        <f>IF(K429="","",IF(K429&gt;0,"На руках",IF(I429&gt;0,IF(H429&gt;0,"Удержан частично","Удержан"),"Возвращён")))</f>
        <v/>
      </c>
      <c r="M429" s="10" t="n"/>
      <c r="N429" s="19">
        <f>IF(K429="","",IF(K429&gt;0,IFERROR(IF(INDEX(Брони!$F$2:$F$500,MATCH(A429,Брони!$A$2:$A$500,0))="Возвращена",TODAY()-INT(INDEX(Брони!$E$2:$E$500,MATCH(A429,Брони!$A$2:$A$500,0))),""),""),""))</f>
        <v/>
      </c>
      <c r="O429" s="19">
        <f>IF(OR(N429="",Настройки!$B$8=""),"",IF(N429&gt;Настройки!$B$8,1,""))</f>
        <v/>
      </c>
    </row>
    <row r="430">
      <c r="A430" s="9" t="n"/>
      <c r="B430" s="12">
        <f>IF(A430="","",IFERROR(INDEX(Брони!$C$2:$C$500,MATCH(A430,Брони!$A$2:$A$500,0)),""))</f>
        <v/>
      </c>
      <c r="C430" s="12">
        <f>IF(A430="","",IFERROR(INDEX(Брони!$B$2:$B$500,MATCH(A430,Брони!$A$2:$A$500,0)),""))</f>
        <v/>
      </c>
      <c r="D430" s="14" t="n"/>
      <c r="E430" s="10" t="n"/>
      <c r="F430" s="18" t="n"/>
      <c r="G430" s="18" t="n"/>
      <c r="H430" s="14" t="n"/>
      <c r="I430" s="14" t="n"/>
      <c r="J430" s="10" t="n"/>
      <c r="K430" s="15">
        <f>IF(OR(A430="",D430=""),"",D430-H430-I430)</f>
        <v/>
      </c>
      <c r="L430" s="12">
        <f>IF(K430="","",IF(K430&gt;0,"На руках",IF(I430&gt;0,IF(H430&gt;0,"Удержан частично","Удержан"),"Возвращён")))</f>
        <v/>
      </c>
      <c r="M430" s="10" t="n"/>
      <c r="N430" s="19">
        <f>IF(K430="","",IF(K430&gt;0,IFERROR(IF(INDEX(Брони!$F$2:$F$500,MATCH(A430,Брони!$A$2:$A$500,0))="Возвращена",TODAY()-INT(INDEX(Брони!$E$2:$E$500,MATCH(A430,Брони!$A$2:$A$500,0))),""),""),""))</f>
        <v/>
      </c>
      <c r="O430" s="19">
        <f>IF(OR(N430="",Настройки!$B$8=""),"",IF(N430&gt;Настройки!$B$8,1,""))</f>
        <v/>
      </c>
    </row>
    <row r="431">
      <c r="A431" s="9" t="n"/>
      <c r="B431" s="12">
        <f>IF(A431="","",IFERROR(INDEX(Брони!$C$2:$C$500,MATCH(A431,Брони!$A$2:$A$500,0)),""))</f>
        <v/>
      </c>
      <c r="C431" s="12">
        <f>IF(A431="","",IFERROR(INDEX(Брони!$B$2:$B$500,MATCH(A431,Брони!$A$2:$A$500,0)),""))</f>
        <v/>
      </c>
      <c r="D431" s="14" t="n"/>
      <c r="E431" s="10" t="n"/>
      <c r="F431" s="18" t="n"/>
      <c r="G431" s="18" t="n"/>
      <c r="H431" s="14" t="n"/>
      <c r="I431" s="14" t="n"/>
      <c r="J431" s="10" t="n"/>
      <c r="K431" s="15">
        <f>IF(OR(A431="",D431=""),"",D431-H431-I431)</f>
        <v/>
      </c>
      <c r="L431" s="12">
        <f>IF(K431="","",IF(K431&gt;0,"На руках",IF(I431&gt;0,IF(H431&gt;0,"Удержан частично","Удержан"),"Возвращён")))</f>
        <v/>
      </c>
      <c r="M431" s="10" t="n"/>
      <c r="N431" s="19">
        <f>IF(K431="","",IF(K431&gt;0,IFERROR(IF(INDEX(Брони!$F$2:$F$500,MATCH(A431,Брони!$A$2:$A$500,0))="Возвращена",TODAY()-INT(INDEX(Брони!$E$2:$E$500,MATCH(A431,Брони!$A$2:$A$500,0))),""),""),""))</f>
        <v/>
      </c>
      <c r="O431" s="19">
        <f>IF(OR(N431="",Настройки!$B$8=""),"",IF(N431&gt;Настройки!$B$8,1,""))</f>
        <v/>
      </c>
    </row>
    <row r="432">
      <c r="A432" s="9" t="n"/>
      <c r="B432" s="12">
        <f>IF(A432="","",IFERROR(INDEX(Брони!$C$2:$C$500,MATCH(A432,Брони!$A$2:$A$500,0)),""))</f>
        <v/>
      </c>
      <c r="C432" s="12">
        <f>IF(A432="","",IFERROR(INDEX(Брони!$B$2:$B$500,MATCH(A432,Брони!$A$2:$A$500,0)),""))</f>
        <v/>
      </c>
      <c r="D432" s="14" t="n"/>
      <c r="E432" s="10" t="n"/>
      <c r="F432" s="18" t="n"/>
      <c r="G432" s="18" t="n"/>
      <c r="H432" s="14" t="n"/>
      <c r="I432" s="14" t="n"/>
      <c r="J432" s="10" t="n"/>
      <c r="K432" s="15">
        <f>IF(OR(A432="",D432=""),"",D432-H432-I432)</f>
        <v/>
      </c>
      <c r="L432" s="12">
        <f>IF(K432="","",IF(K432&gt;0,"На руках",IF(I432&gt;0,IF(H432&gt;0,"Удержан частично","Удержан"),"Возвращён")))</f>
        <v/>
      </c>
      <c r="M432" s="10" t="n"/>
      <c r="N432" s="19">
        <f>IF(K432="","",IF(K432&gt;0,IFERROR(IF(INDEX(Брони!$F$2:$F$500,MATCH(A432,Брони!$A$2:$A$500,0))="Возвращена",TODAY()-INT(INDEX(Брони!$E$2:$E$500,MATCH(A432,Брони!$A$2:$A$500,0))),""),""),""))</f>
        <v/>
      </c>
      <c r="O432" s="19">
        <f>IF(OR(N432="",Настройки!$B$8=""),"",IF(N432&gt;Настройки!$B$8,1,""))</f>
        <v/>
      </c>
    </row>
    <row r="433">
      <c r="A433" s="9" t="n"/>
      <c r="B433" s="12">
        <f>IF(A433="","",IFERROR(INDEX(Брони!$C$2:$C$500,MATCH(A433,Брони!$A$2:$A$500,0)),""))</f>
        <v/>
      </c>
      <c r="C433" s="12">
        <f>IF(A433="","",IFERROR(INDEX(Брони!$B$2:$B$500,MATCH(A433,Брони!$A$2:$A$500,0)),""))</f>
        <v/>
      </c>
      <c r="D433" s="14" t="n"/>
      <c r="E433" s="10" t="n"/>
      <c r="F433" s="18" t="n"/>
      <c r="G433" s="18" t="n"/>
      <c r="H433" s="14" t="n"/>
      <c r="I433" s="14" t="n"/>
      <c r="J433" s="10" t="n"/>
      <c r="K433" s="15">
        <f>IF(OR(A433="",D433=""),"",D433-H433-I433)</f>
        <v/>
      </c>
      <c r="L433" s="12">
        <f>IF(K433="","",IF(K433&gt;0,"На руках",IF(I433&gt;0,IF(H433&gt;0,"Удержан частично","Удержан"),"Возвращён")))</f>
        <v/>
      </c>
      <c r="M433" s="10" t="n"/>
      <c r="N433" s="19">
        <f>IF(K433="","",IF(K433&gt;0,IFERROR(IF(INDEX(Брони!$F$2:$F$500,MATCH(A433,Брони!$A$2:$A$500,0))="Возвращена",TODAY()-INT(INDEX(Брони!$E$2:$E$500,MATCH(A433,Брони!$A$2:$A$500,0))),""),""),""))</f>
        <v/>
      </c>
      <c r="O433" s="19">
        <f>IF(OR(N433="",Настройки!$B$8=""),"",IF(N433&gt;Настройки!$B$8,1,""))</f>
        <v/>
      </c>
    </row>
    <row r="434">
      <c r="A434" s="9" t="n"/>
      <c r="B434" s="12">
        <f>IF(A434="","",IFERROR(INDEX(Брони!$C$2:$C$500,MATCH(A434,Брони!$A$2:$A$500,0)),""))</f>
        <v/>
      </c>
      <c r="C434" s="12">
        <f>IF(A434="","",IFERROR(INDEX(Брони!$B$2:$B$500,MATCH(A434,Брони!$A$2:$A$500,0)),""))</f>
        <v/>
      </c>
      <c r="D434" s="14" t="n"/>
      <c r="E434" s="10" t="n"/>
      <c r="F434" s="18" t="n"/>
      <c r="G434" s="18" t="n"/>
      <c r="H434" s="14" t="n"/>
      <c r="I434" s="14" t="n"/>
      <c r="J434" s="10" t="n"/>
      <c r="K434" s="15">
        <f>IF(OR(A434="",D434=""),"",D434-H434-I434)</f>
        <v/>
      </c>
      <c r="L434" s="12">
        <f>IF(K434="","",IF(K434&gt;0,"На руках",IF(I434&gt;0,IF(H434&gt;0,"Удержан частично","Удержан"),"Возвращён")))</f>
        <v/>
      </c>
      <c r="M434" s="10" t="n"/>
      <c r="N434" s="19">
        <f>IF(K434="","",IF(K434&gt;0,IFERROR(IF(INDEX(Брони!$F$2:$F$500,MATCH(A434,Брони!$A$2:$A$500,0))="Возвращена",TODAY()-INT(INDEX(Брони!$E$2:$E$500,MATCH(A434,Брони!$A$2:$A$500,0))),""),""),""))</f>
        <v/>
      </c>
      <c r="O434" s="19">
        <f>IF(OR(N434="",Настройки!$B$8=""),"",IF(N434&gt;Настройки!$B$8,1,""))</f>
        <v/>
      </c>
    </row>
    <row r="435">
      <c r="A435" s="9" t="n"/>
      <c r="B435" s="12">
        <f>IF(A435="","",IFERROR(INDEX(Брони!$C$2:$C$500,MATCH(A435,Брони!$A$2:$A$500,0)),""))</f>
        <v/>
      </c>
      <c r="C435" s="12">
        <f>IF(A435="","",IFERROR(INDEX(Брони!$B$2:$B$500,MATCH(A435,Брони!$A$2:$A$500,0)),""))</f>
        <v/>
      </c>
      <c r="D435" s="14" t="n"/>
      <c r="E435" s="10" t="n"/>
      <c r="F435" s="18" t="n"/>
      <c r="G435" s="18" t="n"/>
      <c r="H435" s="14" t="n"/>
      <c r="I435" s="14" t="n"/>
      <c r="J435" s="10" t="n"/>
      <c r="K435" s="15">
        <f>IF(OR(A435="",D435=""),"",D435-H435-I435)</f>
        <v/>
      </c>
      <c r="L435" s="12">
        <f>IF(K435="","",IF(K435&gt;0,"На руках",IF(I435&gt;0,IF(H435&gt;0,"Удержан частично","Удержан"),"Возвращён")))</f>
        <v/>
      </c>
      <c r="M435" s="10" t="n"/>
      <c r="N435" s="19">
        <f>IF(K435="","",IF(K435&gt;0,IFERROR(IF(INDEX(Брони!$F$2:$F$500,MATCH(A435,Брони!$A$2:$A$500,0))="Возвращена",TODAY()-INT(INDEX(Брони!$E$2:$E$500,MATCH(A435,Брони!$A$2:$A$500,0))),""),""),""))</f>
        <v/>
      </c>
      <c r="O435" s="19">
        <f>IF(OR(N435="",Настройки!$B$8=""),"",IF(N435&gt;Настройки!$B$8,1,""))</f>
        <v/>
      </c>
    </row>
    <row r="436">
      <c r="A436" s="9" t="n"/>
      <c r="B436" s="12">
        <f>IF(A436="","",IFERROR(INDEX(Брони!$C$2:$C$500,MATCH(A436,Брони!$A$2:$A$500,0)),""))</f>
        <v/>
      </c>
      <c r="C436" s="12">
        <f>IF(A436="","",IFERROR(INDEX(Брони!$B$2:$B$500,MATCH(A436,Брони!$A$2:$A$500,0)),""))</f>
        <v/>
      </c>
      <c r="D436" s="14" t="n"/>
      <c r="E436" s="10" t="n"/>
      <c r="F436" s="18" t="n"/>
      <c r="G436" s="18" t="n"/>
      <c r="H436" s="14" t="n"/>
      <c r="I436" s="14" t="n"/>
      <c r="J436" s="10" t="n"/>
      <c r="K436" s="15">
        <f>IF(OR(A436="",D436=""),"",D436-H436-I436)</f>
        <v/>
      </c>
      <c r="L436" s="12">
        <f>IF(K436="","",IF(K436&gt;0,"На руках",IF(I436&gt;0,IF(H436&gt;0,"Удержан частично","Удержан"),"Возвращён")))</f>
        <v/>
      </c>
      <c r="M436" s="10" t="n"/>
      <c r="N436" s="19">
        <f>IF(K436="","",IF(K436&gt;0,IFERROR(IF(INDEX(Брони!$F$2:$F$500,MATCH(A436,Брони!$A$2:$A$500,0))="Возвращена",TODAY()-INT(INDEX(Брони!$E$2:$E$500,MATCH(A436,Брони!$A$2:$A$500,0))),""),""),""))</f>
        <v/>
      </c>
      <c r="O436" s="19">
        <f>IF(OR(N436="",Настройки!$B$8=""),"",IF(N436&gt;Настройки!$B$8,1,""))</f>
        <v/>
      </c>
    </row>
    <row r="437">
      <c r="A437" s="9" t="n"/>
      <c r="B437" s="12">
        <f>IF(A437="","",IFERROR(INDEX(Брони!$C$2:$C$500,MATCH(A437,Брони!$A$2:$A$500,0)),""))</f>
        <v/>
      </c>
      <c r="C437" s="12">
        <f>IF(A437="","",IFERROR(INDEX(Брони!$B$2:$B$500,MATCH(A437,Брони!$A$2:$A$500,0)),""))</f>
        <v/>
      </c>
      <c r="D437" s="14" t="n"/>
      <c r="E437" s="10" t="n"/>
      <c r="F437" s="18" t="n"/>
      <c r="G437" s="18" t="n"/>
      <c r="H437" s="14" t="n"/>
      <c r="I437" s="14" t="n"/>
      <c r="J437" s="10" t="n"/>
      <c r="K437" s="15">
        <f>IF(OR(A437="",D437=""),"",D437-H437-I437)</f>
        <v/>
      </c>
      <c r="L437" s="12">
        <f>IF(K437="","",IF(K437&gt;0,"На руках",IF(I437&gt;0,IF(H437&gt;0,"Удержан частично","Удержан"),"Возвращён")))</f>
        <v/>
      </c>
      <c r="M437" s="10" t="n"/>
      <c r="N437" s="19">
        <f>IF(K437="","",IF(K437&gt;0,IFERROR(IF(INDEX(Брони!$F$2:$F$500,MATCH(A437,Брони!$A$2:$A$500,0))="Возвращена",TODAY()-INT(INDEX(Брони!$E$2:$E$500,MATCH(A437,Брони!$A$2:$A$500,0))),""),""),""))</f>
        <v/>
      </c>
      <c r="O437" s="19">
        <f>IF(OR(N437="",Настройки!$B$8=""),"",IF(N437&gt;Настройки!$B$8,1,""))</f>
        <v/>
      </c>
    </row>
    <row r="438">
      <c r="A438" s="9" t="n"/>
      <c r="B438" s="12">
        <f>IF(A438="","",IFERROR(INDEX(Брони!$C$2:$C$500,MATCH(A438,Брони!$A$2:$A$500,0)),""))</f>
        <v/>
      </c>
      <c r="C438" s="12">
        <f>IF(A438="","",IFERROR(INDEX(Брони!$B$2:$B$500,MATCH(A438,Брони!$A$2:$A$500,0)),""))</f>
        <v/>
      </c>
      <c r="D438" s="14" t="n"/>
      <c r="E438" s="10" t="n"/>
      <c r="F438" s="18" t="n"/>
      <c r="G438" s="18" t="n"/>
      <c r="H438" s="14" t="n"/>
      <c r="I438" s="14" t="n"/>
      <c r="J438" s="10" t="n"/>
      <c r="K438" s="15">
        <f>IF(OR(A438="",D438=""),"",D438-H438-I438)</f>
        <v/>
      </c>
      <c r="L438" s="12">
        <f>IF(K438="","",IF(K438&gt;0,"На руках",IF(I438&gt;0,IF(H438&gt;0,"Удержан частично","Удержан"),"Возвращён")))</f>
        <v/>
      </c>
      <c r="M438" s="10" t="n"/>
      <c r="N438" s="19">
        <f>IF(K438="","",IF(K438&gt;0,IFERROR(IF(INDEX(Брони!$F$2:$F$500,MATCH(A438,Брони!$A$2:$A$500,0))="Возвращена",TODAY()-INT(INDEX(Брони!$E$2:$E$500,MATCH(A438,Брони!$A$2:$A$500,0))),""),""),""))</f>
        <v/>
      </c>
      <c r="O438" s="19">
        <f>IF(OR(N438="",Настройки!$B$8=""),"",IF(N438&gt;Настройки!$B$8,1,""))</f>
        <v/>
      </c>
    </row>
    <row r="439">
      <c r="A439" s="9" t="n"/>
      <c r="B439" s="12">
        <f>IF(A439="","",IFERROR(INDEX(Брони!$C$2:$C$500,MATCH(A439,Брони!$A$2:$A$500,0)),""))</f>
        <v/>
      </c>
      <c r="C439" s="12">
        <f>IF(A439="","",IFERROR(INDEX(Брони!$B$2:$B$500,MATCH(A439,Брони!$A$2:$A$500,0)),""))</f>
        <v/>
      </c>
      <c r="D439" s="14" t="n"/>
      <c r="E439" s="10" t="n"/>
      <c r="F439" s="18" t="n"/>
      <c r="G439" s="18" t="n"/>
      <c r="H439" s="14" t="n"/>
      <c r="I439" s="14" t="n"/>
      <c r="J439" s="10" t="n"/>
      <c r="K439" s="15">
        <f>IF(OR(A439="",D439=""),"",D439-H439-I439)</f>
        <v/>
      </c>
      <c r="L439" s="12">
        <f>IF(K439="","",IF(K439&gt;0,"На руках",IF(I439&gt;0,IF(H439&gt;0,"Удержан частично","Удержан"),"Возвращён")))</f>
        <v/>
      </c>
      <c r="M439" s="10" t="n"/>
      <c r="N439" s="19">
        <f>IF(K439="","",IF(K439&gt;0,IFERROR(IF(INDEX(Брони!$F$2:$F$500,MATCH(A439,Брони!$A$2:$A$500,0))="Возвращена",TODAY()-INT(INDEX(Брони!$E$2:$E$500,MATCH(A439,Брони!$A$2:$A$500,0))),""),""),""))</f>
        <v/>
      </c>
      <c r="O439" s="19">
        <f>IF(OR(N439="",Настройки!$B$8=""),"",IF(N439&gt;Настройки!$B$8,1,""))</f>
        <v/>
      </c>
    </row>
    <row r="440">
      <c r="A440" s="9" t="n"/>
      <c r="B440" s="12">
        <f>IF(A440="","",IFERROR(INDEX(Брони!$C$2:$C$500,MATCH(A440,Брони!$A$2:$A$500,0)),""))</f>
        <v/>
      </c>
      <c r="C440" s="12">
        <f>IF(A440="","",IFERROR(INDEX(Брони!$B$2:$B$500,MATCH(A440,Брони!$A$2:$A$500,0)),""))</f>
        <v/>
      </c>
      <c r="D440" s="14" t="n"/>
      <c r="E440" s="10" t="n"/>
      <c r="F440" s="18" t="n"/>
      <c r="G440" s="18" t="n"/>
      <c r="H440" s="14" t="n"/>
      <c r="I440" s="14" t="n"/>
      <c r="J440" s="10" t="n"/>
      <c r="K440" s="15">
        <f>IF(OR(A440="",D440=""),"",D440-H440-I440)</f>
        <v/>
      </c>
      <c r="L440" s="12">
        <f>IF(K440="","",IF(K440&gt;0,"На руках",IF(I440&gt;0,IF(H440&gt;0,"Удержан частично","Удержан"),"Возвращён")))</f>
        <v/>
      </c>
      <c r="M440" s="10" t="n"/>
      <c r="N440" s="19">
        <f>IF(K440="","",IF(K440&gt;0,IFERROR(IF(INDEX(Брони!$F$2:$F$500,MATCH(A440,Брони!$A$2:$A$500,0))="Возвращена",TODAY()-INT(INDEX(Брони!$E$2:$E$500,MATCH(A440,Брони!$A$2:$A$500,0))),""),""),""))</f>
        <v/>
      </c>
      <c r="O440" s="19">
        <f>IF(OR(N440="",Настройки!$B$8=""),"",IF(N440&gt;Настройки!$B$8,1,""))</f>
        <v/>
      </c>
    </row>
    <row r="441">
      <c r="A441" s="9" t="n"/>
      <c r="B441" s="12">
        <f>IF(A441="","",IFERROR(INDEX(Брони!$C$2:$C$500,MATCH(A441,Брони!$A$2:$A$500,0)),""))</f>
        <v/>
      </c>
      <c r="C441" s="12">
        <f>IF(A441="","",IFERROR(INDEX(Брони!$B$2:$B$500,MATCH(A441,Брони!$A$2:$A$500,0)),""))</f>
        <v/>
      </c>
      <c r="D441" s="14" t="n"/>
      <c r="E441" s="10" t="n"/>
      <c r="F441" s="18" t="n"/>
      <c r="G441" s="18" t="n"/>
      <c r="H441" s="14" t="n"/>
      <c r="I441" s="14" t="n"/>
      <c r="J441" s="10" t="n"/>
      <c r="K441" s="15">
        <f>IF(OR(A441="",D441=""),"",D441-H441-I441)</f>
        <v/>
      </c>
      <c r="L441" s="12">
        <f>IF(K441="","",IF(K441&gt;0,"На руках",IF(I441&gt;0,IF(H441&gt;0,"Удержан частично","Удержан"),"Возвращён")))</f>
        <v/>
      </c>
      <c r="M441" s="10" t="n"/>
      <c r="N441" s="19">
        <f>IF(K441="","",IF(K441&gt;0,IFERROR(IF(INDEX(Брони!$F$2:$F$500,MATCH(A441,Брони!$A$2:$A$500,0))="Возвращена",TODAY()-INT(INDEX(Брони!$E$2:$E$500,MATCH(A441,Брони!$A$2:$A$500,0))),""),""),""))</f>
        <v/>
      </c>
      <c r="O441" s="19">
        <f>IF(OR(N441="",Настройки!$B$8=""),"",IF(N441&gt;Настройки!$B$8,1,""))</f>
        <v/>
      </c>
    </row>
    <row r="442">
      <c r="A442" s="9" t="n"/>
      <c r="B442" s="12">
        <f>IF(A442="","",IFERROR(INDEX(Брони!$C$2:$C$500,MATCH(A442,Брони!$A$2:$A$500,0)),""))</f>
        <v/>
      </c>
      <c r="C442" s="12">
        <f>IF(A442="","",IFERROR(INDEX(Брони!$B$2:$B$500,MATCH(A442,Брони!$A$2:$A$500,0)),""))</f>
        <v/>
      </c>
      <c r="D442" s="14" t="n"/>
      <c r="E442" s="10" t="n"/>
      <c r="F442" s="18" t="n"/>
      <c r="G442" s="18" t="n"/>
      <c r="H442" s="14" t="n"/>
      <c r="I442" s="14" t="n"/>
      <c r="J442" s="10" t="n"/>
      <c r="K442" s="15">
        <f>IF(OR(A442="",D442=""),"",D442-H442-I442)</f>
        <v/>
      </c>
      <c r="L442" s="12">
        <f>IF(K442="","",IF(K442&gt;0,"На руках",IF(I442&gt;0,IF(H442&gt;0,"Удержан частично","Удержан"),"Возвращён")))</f>
        <v/>
      </c>
      <c r="M442" s="10" t="n"/>
      <c r="N442" s="19">
        <f>IF(K442="","",IF(K442&gt;0,IFERROR(IF(INDEX(Брони!$F$2:$F$500,MATCH(A442,Брони!$A$2:$A$500,0))="Возвращена",TODAY()-INT(INDEX(Брони!$E$2:$E$500,MATCH(A442,Брони!$A$2:$A$500,0))),""),""),""))</f>
        <v/>
      </c>
      <c r="O442" s="19">
        <f>IF(OR(N442="",Настройки!$B$8=""),"",IF(N442&gt;Настройки!$B$8,1,""))</f>
        <v/>
      </c>
    </row>
    <row r="443">
      <c r="A443" s="9" t="n"/>
      <c r="B443" s="12">
        <f>IF(A443="","",IFERROR(INDEX(Брони!$C$2:$C$500,MATCH(A443,Брони!$A$2:$A$500,0)),""))</f>
        <v/>
      </c>
      <c r="C443" s="12">
        <f>IF(A443="","",IFERROR(INDEX(Брони!$B$2:$B$500,MATCH(A443,Брони!$A$2:$A$500,0)),""))</f>
        <v/>
      </c>
      <c r="D443" s="14" t="n"/>
      <c r="E443" s="10" t="n"/>
      <c r="F443" s="18" t="n"/>
      <c r="G443" s="18" t="n"/>
      <c r="H443" s="14" t="n"/>
      <c r="I443" s="14" t="n"/>
      <c r="J443" s="10" t="n"/>
      <c r="K443" s="15">
        <f>IF(OR(A443="",D443=""),"",D443-H443-I443)</f>
        <v/>
      </c>
      <c r="L443" s="12">
        <f>IF(K443="","",IF(K443&gt;0,"На руках",IF(I443&gt;0,IF(H443&gt;0,"Удержан частично","Удержан"),"Возвращён")))</f>
        <v/>
      </c>
      <c r="M443" s="10" t="n"/>
      <c r="N443" s="19">
        <f>IF(K443="","",IF(K443&gt;0,IFERROR(IF(INDEX(Брони!$F$2:$F$500,MATCH(A443,Брони!$A$2:$A$500,0))="Возвращена",TODAY()-INT(INDEX(Брони!$E$2:$E$500,MATCH(A443,Брони!$A$2:$A$500,0))),""),""),""))</f>
        <v/>
      </c>
      <c r="O443" s="19">
        <f>IF(OR(N443="",Настройки!$B$8=""),"",IF(N443&gt;Настройки!$B$8,1,""))</f>
        <v/>
      </c>
    </row>
    <row r="444">
      <c r="A444" s="9" t="n"/>
      <c r="B444" s="12">
        <f>IF(A444="","",IFERROR(INDEX(Брони!$C$2:$C$500,MATCH(A444,Брони!$A$2:$A$500,0)),""))</f>
        <v/>
      </c>
      <c r="C444" s="12">
        <f>IF(A444="","",IFERROR(INDEX(Брони!$B$2:$B$500,MATCH(A444,Брони!$A$2:$A$500,0)),""))</f>
        <v/>
      </c>
      <c r="D444" s="14" t="n"/>
      <c r="E444" s="10" t="n"/>
      <c r="F444" s="18" t="n"/>
      <c r="G444" s="18" t="n"/>
      <c r="H444" s="14" t="n"/>
      <c r="I444" s="14" t="n"/>
      <c r="J444" s="10" t="n"/>
      <c r="K444" s="15">
        <f>IF(OR(A444="",D444=""),"",D444-H444-I444)</f>
        <v/>
      </c>
      <c r="L444" s="12">
        <f>IF(K444="","",IF(K444&gt;0,"На руках",IF(I444&gt;0,IF(H444&gt;0,"Удержан частично","Удержан"),"Возвращён")))</f>
        <v/>
      </c>
      <c r="M444" s="10" t="n"/>
      <c r="N444" s="19">
        <f>IF(K444="","",IF(K444&gt;0,IFERROR(IF(INDEX(Брони!$F$2:$F$500,MATCH(A444,Брони!$A$2:$A$500,0))="Возвращена",TODAY()-INT(INDEX(Брони!$E$2:$E$500,MATCH(A444,Брони!$A$2:$A$500,0))),""),""),""))</f>
        <v/>
      </c>
      <c r="O444" s="19">
        <f>IF(OR(N444="",Настройки!$B$8=""),"",IF(N444&gt;Настройки!$B$8,1,""))</f>
        <v/>
      </c>
    </row>
    <row r="445">
      <c r="A445" s="9" t="n"/>
      <c r="B445" s="12">
        <f>IF(A445="","",IFERROR(INDEX(Брони!$C$2:$C$500,MATCH(A445,Брони!$A$2:$A$500,0)),""))</f>
        <v/>
      </c>
      <c r="C445" s="12">
        <f>IF(A445="","",IFERROR(INDEX(Брони!$B$2:$B$500,MATCH(A445,Брони!$A$2:$A$500,0)),""))</f>
        <v/>
      </c>
      <c r="D445" s="14" t="n"/>
      <c r="E445" s="10" t="n"/>
      <c r="F445" s="18" t="n"/>
      <c r="G445" s="18" t="n"/>
      <c r="H445" s="14" t="n"/>
      <c r="I445" s="14" t="n"/>
      <c r="J445" s="10" t="n"/>
      <c r="K445" s="15">
        <f>IF(OR(A445="",D445=""),"",D445-H445-I445)</f>
        <v/>
      </c>
      <c r="L445" s="12">
        <f>IF(K445="","",IF(K445&gt;0,"На руках",IF(I445&gt;0,IF(H445&gt;0,"Удержан частично","Удержан"),"Возвращён")))</f>
        <v/>
      </c>
      <c r="M445" s="10" t="n"/>
      <c r="N445" s="19">
        <f>IF(K445="","",IF(K445&gt;0,IFERROR(IF(INDEX(Брони!$F$2:$F$500,MATCH(A445,Брони!$A$2:$A$500,0))="Возвращена",TODAY()-INT(INDEX(Брони!$E$2:$E$500,MATCH(A445,Брони!$A$2:$A$500,0))),""),""),""))</f>
        <v/>
      </c>
      <c r="O445" s="19">
        <f>IF(OR(N445="",Настройки!$B$8=""),"",IF(N445&gt;Настройки!$B$8,1,""))</f>
        <v/>
      </c>
    </row>
    <row r="446">
      <c r="A446" s="9" t="n"/>
      <c r="B446" s="12">
        <f>IF(A446="","",IFERROR(INDEX(Брони!$C$2:$C$500,MATCH(A446,Брони!$A$2:$A$500,0)),""))</f>
        <v/>
      </c>
      <c r="C446" s="12">
        <f>IF(A446="","",IFERROR(INDEX(Брони!$B$2:$B$500,MATCH(A446,Брони!$A$2:$A$500,0)),""))</f>
        <v/>
      </c>
      <c r="D446" s="14" t="n"/>
      <c r="E446" s="10" t="n"/>
      <c r="F446" s="18" t="n"/>
      <c r="G446" s="18" t="n"/>
      <c r="H446" s="14" t="n"/>
      <c r="I446" s="14" t="n"/>
      <c r="J446" s="10" t="n"/>
      <c r="K446" s="15">
        <f>IF(OR(A446="",D446=""),"",D446-H446-I446)</f>
        <v/>
      </c>
      <c r="L446" s="12">
        <f>IF(K446="","",IF(K446&gt;0,"На руках",IF(I446&gt;0,IF(H446&gt;0,"Удержан частично","Удержан"),"Возвращён")))</f>
        <v/>
      </c>
      <c r="M446" s="10" t="n"/>
      <c r="N446" s="19">
        <f>IF(K446="","",IF(K446&gt;0,IFERROR(IF(INDEX(Брони!$F$2:$F$500,MATCH(A446,Брони!$A$2:$A$500,0))="Возвращена",TODAY()-INT(INDEX(Брони!$E$2:$E$500,MATCH(A446,Брони!$A$2:$A$500,0))),""),""),""))</f>
        <v/>
      </c>
      <c r="O446" s="19">
        <f>IF(OR(N446="",Настройки!$B$8=""),"",IF(N446&gt;Настройки!$B$8,1,""))</f>
        <v/>
      </c>
    </row>
    <row r="447">
      <c r="A447" s="9" t="n"/>
      <c r="B447" s="12">
        <f>IF(A447="","",IFERROR(INDEX(Брони!$C$2:$C$500,MATCH(A447,Брони!$A$2:$A$500,0)),""))</f>
        <v/>
      </c>
      <c r="C447" s="12">
        <f>IF(A447="","",IFERROR(INDEX(Брони!$B$2:$B$500,MATCH(A447,Брони!$A$2:$A$500,0)),""))</f>
        <v/>
      </c>
      <c r="D447" s="14" t="n"/>
      <c r="E447" s="10" t="n"/>
      <c r="F447" s="18" t="n"/>
      <c r="G447" s="18" t="n"/>
      <c r="H447" s="14" t="n"/>
      <c r="I447" s="14" t="n"/>
      <c r="J447" s="10" t="n"/>
      <c r="K447" s="15">
        <f>IF(OR(A447="",D447=""),"",D447-H447-I447)</f>
        <v/>
      </c>
      <c r="L447" s="12">
        <f>IF(K447="","",IF(K447&gt;0,"На руках",IF(I447&gt;0,IF(H447&gt;0,"Удержан частично","Удержан"),"Возвращён")))</f>
        <v/>
      </c>
      <c r="M447" s="10" t="n"/>
      <c r="N447" s="19">
        <f>IF(K447="","",IF(K447&gt;0,IFERROR(IF(INDEX(Брони!$F$2:$F$500,MATCH(A447,Брони!$A$2:$A$500,0))="Возвращена",TODAY()-INT(INDEX(Брони!$E$2:$E$500,MATCH(A447,Брони!$A$2:$A$500,0))),""),""),""))</f>
        <v/>
      </c>
      <c r="O447" s="19">
        <f>IF(OR(N447="",Настройки!$B$8=""),"",IF(N447&gt;Настройки!$B$8,1,""))</f>
        <v/>
      </c>
    </row>
    <row r="448">
      <c r="A448" s="9" t="n"/>
      <c r="B448" s="12">
        <f>IF(A448="","",IFERROR(INDEX(Брони!$C$2:$C$500,MATCH(A448,Брони!$A$2:$A$500,0)),""))</f>
        <v/>
      </c>
      <c r="C448" s="12">
        <f>IF(A448="","",IFERROR(INDEX(Брони!$B$2:$B$500,MATCH(A448,Брони!$A$2:$A$500,0)),""))</f>
        <v/>
      </c>
      <c r="D448" s="14" t="n"/>
      <c r="E448" s="10" t="n"/>
      <c r="F448" s="18" t="n"/>
      <c r="G448" s="18" t="n"/>
      <c r="H448" s="14" t="n"/>
      <c r="I448" s="14" t="n"/>
      <c r="J448" s="10" t="n"/>
      <c r="K448" s="15">
        <f>IF(OR(A448="",D448=""),"",D448-H448-I448)</f>
        <v/>
      </c>
      <c r="L448" s="12">
        <f>IF(K448="","",IF(K448&gt;0,"На руках",IF(I448&gt;0,IF(H448&gt;0,"Удержан частично","Удержан"),"Возвращён")))</f>
        <v/>
      </c>
      <c r="M448" s="10" t="n"/>
      <c r="N448" s="19">
        <f>IF(K448="","",IF(K448&gt;0,IFERROR(IF(INDEX(Брони!$F$2:$F$500,MATCH(A448,Брони!$A$2:$A$500,0))="Возвращена",TODAY()-INT(INDEX(Брони!$E$2:$E$500,MATCH(A448,Брони!$A$2:$A$500,0))),""),""),""))</f>
        <v/>
      </c>
      <c r="O448" s="19">
        <f>IF(OR(N448="",Настройки!$B$8=""),"",IF(N448&gt;Настройки!$B$8,1,""))</f>
        <v/>
      </c>
    </row>
    <row r="449">
      <c r="A449" s="9" t="n"/>
      <c r="B449" s="12">
        <f>IF(A449="","",IFERROR(INDEX(Брони!$C$2:$C$500,MATCH(A449,Брони!$A$2:$A$500,0)),""))</f>
        <v/>
      </c>
      <c r="C449" s="12">
        <f>IF(A449="","",IFERROR(INDEX(Брони!$B$2:$B$500,MATCH(A449,Брони!$A$2:$A$500,0)),""))</f>
        <v/>
      </c>
      <c r="D449" s="14" t="n"/>
      <c r="E449" s="10" t="n"/>
      <c r="F449" s="18" t="n"/>
      <c r="G449" s="18" t="n"/>
      <c r="H449" s="14" t="n"/>
      <c r="I449" s="14" t="n"/>
      <c r="J449" s="10" t="n"/>
      <c r="K449" s="15">
        <f>IF(OR(A449="",D449=""),"",D449-H449-I449)</f>
        <v/>
      </c>
      <c r="L449" s="12">
        <f>IF(K449="","",IF(K449&gt;0,"На руках",IF(I449&gt;0,IF(H449&gt;0,"Удержан частично","Удержан"),"Возвращён")))</f>
        <v/>
      </c>
      <c r="M449" s="10" t="n"/>
      <c r="N449" s="19">
        <f>IF(K449="","",IF(K449&gt;0,IFERROR(IF(INDEX(Брони!$F$2:$F$500,MATCH(A449,Брони!$A$2:$A$500,0))="Возвращена",TODAY()-INT(INDEX(Брони!$E$2:$E$500,MATCH(A449,Брони!$A$2:$A$500,0))),""),""),""))</f>
        <v/>
      </c>
      <c r="O449" s="19">
        <f>IF(OR(N449="",Настройки!$B$8=""),"",IF(N449&gt;Настройки!$B$8,1,""))</f>
        <v/>
      </c>
    </row>
    <row r="450">
      <c r="A450" s="9" t="n"/>
      <c r="B450" s="12">
        <f>IF(A450="","",IFERROR(INDEX(Брони!$C$2:$C$500,MATCH(A450,Брони!$A$2:$A$500,0)),""))</f>
        <v/>
      </c>
      <c r="C450" s="12">
        <f>IF(A450="","",IFERROR(INDEX(Брони!$B$2:$B$500,MATCH(A450,Брони!$A$2:$A$500,0)),""))</f>
        <v/>
      </c>
      <c r="D450" s="14" t="n"/>
      <c r="E450" s="10" t="n"/>
      <c r="F450" s="18" t="n"/>
      <c r="G450" s="18" t="n"/>
      <c r="H450" s="14" t="n"/>
      <c r="I450" s="14" t="n"/>
      <c r="J450" s="10" t="n"/>
      <c r="K450" s="15">
        <f>IF(OR(A450="",D450=""),"",D450-H450-I450)</f>
        <v/>
      </c>
      <c r="L450" s="12">
        <f>IF(K450="","",IF(K450&gt;0,"На руках",IF(I450&gt;0,IF(H450&gt;0,"Удержан частично","Удержан"),"Возвращён")))</f>
        <v/>
      </c>
      <c r="M450" s="10" t="n"/>
      <c r="N450" s="19">
        <f>IF(K450="","",IF(K450&gt;0,IFERROR(IF(INDEX(Брони!$F$2:$F$500,MATCH(A450,Брони!$A$2:$A$500,0))="Возвращена",TODAY()-INT(INDEX(Брони!$E$2:$E$500,MATCH(A450,Брони!$A$2:$A$500,0))),""),""),""))</f>
        <v/>
      </c>
      <c r="O450" s="19">
        <f>IF(OR(N450="",Настройки!$B$8=""),"",IF(N450&gt;Настройки!$B$8,1,""))</f>
        <v/>
      </c>
    </row>
    <row r="451">
      <c r="A451" s="9" t="n"/>
      <c r="B451" s="12">
        <f>IF(A451="","",IFERROR(INDEX(Брони!$C$2:$C$500,MATCH(A451,Брони!$A$2:$A$500,0)),""))</f>
        <v/>
      </c>
      <c r="C451" s="12">
        <f>IF(A451="","",IFERROR(INDEX(Брони!$B$2:$B$500,MATCH(A451,Брони!$A$2:$A$500,0)),""))</f>
        <v/>
      </c>
      <c r="D451" s="14" t="n"/>
      <c r="E451" s="10" t="n"/>
      <c r="F451" s="18" t="n"/>
      <c r="G451" s="18" t="n"/>
      <c r="H451" s="14" t="n"/>
      <c r="I451" s="14" t="n"/>
      <c r="J451" s="10" t="n"/>
      <c r="K451" s="15">
        <f>IF(OR(A451="",D451=""),"",D451-H451-I451)</f>
        <v/>
      </c>
      <c r="L451" s="12">
        <f>IF(K451="","",IF(K451&gt;0,"На руках",IF(I451&gt;0,IF(H451&gt;0,"Удержан частично","Удержан"),"Возвращён")))</f>
        <v/>
      </c>
      <c r="M451" s="10" t="n"/>
      <c r="N451" s="19">
        <f>IF(K451="","",IF(K451&gt;0,IFERROR(IF(INDEX(Брони!$F$2:$F$500,MATCH(A451,Брони!$A$2:$A$500,0))="Возвращена",TODAY()-INT(INDEX(Брони!$E$2:$E$500,MATCH(A451,Брони!$A$2:$A$500,0))),""),""),""))</f>
        <v/>
      </c>
      <c r="O451" s="19">
        <f>IF(OR(N451="",Настройки!$B$8=""),"",IF(N451&gt;Настройки!$B$8,1,""))</f>
        <v/>
      </c>
    </row>
    <row r="452">
      <c r="A452" s="9" t="n"/>
      <c r="B452" s="12">
        <f>IF(A452="","",IFERROR(INDEX(Брони!$C$2:$C$500,MATCH(A452,Брони!$A$2:$A$500,0)),""))</f>
        <v/>
      </c>
      <c r="C452" s="12">
        <f>IF(A452="","",IFERROR(INDEX(Брони!$B$2:$B$500,MATCH(A452,Брони!$A$2:$A$500,0)),""))</f>
        <v/>
      </c>
      <c r="D452" s="14" t="n"/>
      <c r="E452" s="10" t="n"/>
      <c r="F452" s="18" t="n"/>
      <c r="G452" s="18" t="n"/>
      <c r="H452" s="14" t="n"/>
      <c r="I452" s="14" t="n"/>
      <c r="J452" s="10" t="n"/>
      <c r="K452" s="15">
        <f>IF(OR(A452="",D452=""),"",D452-H452-I452)</f>
        <v/>
      </c>
      <c r="L452" s="12">
        <f>IF(K452="","",IF(K452&gt;0,"На руках",IF(I452&gt;0,IF(H452&gt;0,"Удержан частично","Удержан"),"Возвращён")))</f>
        <v/>
      </c>
      <c r="M452" s="10" t="n"/>
      <c r="N452" s="19">
        <f>IF(K452="","",IF(K452&gt;0,IFERROR(IF(INDEX(Брони!$F$2:$F$500,MATCH(A452,Брони!$A$2:$A$500,0))="Возвращена",TODAY()-INT(INDEX(Брони!$E$2:$E$500,MATCH(A452,Брони!$A$2:$A$500,0))),""),""),""))</f>
        <v/>
      </c>
      <c r="O452" s="19">
        <f>IF(OR(N452="",Настройки!$B$8=""),"",IF(N452&gt;Настройки!$B$8,1,""))</f>
        <v/>
      </c>
    </row>
    <row r="453">
      <c r="A453" s="9" t="n"/>
      <c r="B453" s="12">
        <f>IF(A453="","",IFERROR(INDEX(Брони!$C$2:$C$500,MATCH(A453,Брони!$A$2:$A$500,0)),""))</f>
        <v/>
      </c>
      <c r="C453" s="12">
        <f>IF(A453="","",IFERROR(INDEX(Брони!$B$2:$B$500,MATCH(A453,Брони!$A$2:$A$500,0)),""))</f>
        <v/>
      </c>
      <c r="D453" s="14" t="n"/>
      <c r="E453" s="10" t="n"/>
      <c r="F453" s="18" t="n"/>
      <c r="G453" s="18" t="n"/>
      <c r="H453" s="14" t="n"/>
      <c r="I453" s="14" t="n"/>
      <c r="J453" s="10" t="n"/>
      <c r="K453" s="15">
        <f>IF(OR(A453="",D453=""),"",D453-H453-I453)</f>
        <v/>
      </c>
      <c r="L453" s="12">
        <f>IF(K453="","",IF(K453&gt;0,"На руках",IF(I453&gt;0,IF(H453&gt;0,"Удержан частично","Удержан"),"Возвращён")))</f>
        <v/>
      </c>
      <c r="M453" s="10" t="n"/>
      <c r="N453" s="19">
        <f>IF(K453="","",IF(K453&gt;0,IFERROR(IF(INDEX(Брони!$F$2:$F$500,MATCH(A453,Брони!$A$2:$A$500,0))="Возвращена",TODAY()-INT(INDEX(Брони!$E$2:$E$500,MATCH(A453,Брони!$A$2:$A$500,0))),""),""),""))</f>
        <v/>
      </c>
      <c r="O453" s="19">
        <f>IF(OR(N453="",Настройки!$B$8=""),"",IF(N453&gt;Настройки!$B$8,1,""))</f>
        <v/>
      </c>
    </row>
    <row r="454">
      <c r="A454" s="9" t="n"/>
      <c r="B454" s="12">
        <f>IF(A454="","",IFERROR(INDEX(Брони!$C$2:$C$500,MATCH(A454,Брони!$A$2:$A$500,0)),""))</f>
        <v/>
      </c>
      <c r="C454" s="12">
        <f>IF(A454="","",IFERROR(INDEX(Брони!$B$2:$B$500,MATCH(A454,Брони!$A$2:$A$500,0)),""))</f>
        <v/>
      </c>
      <c r="D454" s="14" t="n"/>
      <c r="E454" s="10" t="n"/>
      <c r="F454" s="18" t="n"/>
      <c r="G454" s="18" t="n"/>
      <c r="H454" s="14" t="n"/>
      <c r="I454" s="14" t="n"/>
      <c r="J454" s="10" t="n"/>
      <c r="K454" s="15">
        <f>IF(OR(A454="",D454=""),"",D454-H454-I454)</f>
        <v/>
      </c>
      <c r="L454" s="12">
        <f>IF(K454="","",IF(K454&gt;0,"На руках",IF(I454&gt;0,IF(H454&gt;0,"Удержан частично","Удержан"),"Возвращён")))</f>
        <v/>
      </c>
      <c r="M454" s="10" t="n"/>
      <c r="N454" s="19">
        <f>IF(K454="","",IF(K454&gt;0,IFERROR(IF(INDEX(Брони!$F$2:$F$500,MATCH(A454,Брони!$A$2:$A$500,0))="Возвращена",TODAY()-INT(INDEX(Брони!$E$2:$E$500,MATCH(A454,Брони!$A$2:$A$500,0))),""),""),""))</f>
        <v/>
      </c>
      <c r="O454" s="19">
        <f>IF(OR(N454="",Настройки!$B$8=""),"",IF(N454&gt;Настройки!$B$8,1,""))</f>
        <v/>
      </c>
    </row>
    <row r="455">
      <c r="A455" s="9" t="n"/>
      <c r="B455" s="12">
        <f>IF(A455="","",IFERROR(INDEX(Брони!$C$2:$C$500,MATCH(A455,Брони!$A$2:$A$500,0)),""))</f>
        <v/>
      </c>
      <c r="C455" s="12">
        <f>IF(A455="","",IFERROR(INDEX(Брони!$B$2:$B$500,MATCH(A455,Брони!$A$2:$A$500,0)),""))</f>
        <v/>
      </c>
      <c r="D455" s="14" t="n"/>
      <c r="E455" s="10" t="n"/>
      <c r="F455" s="18" t="n"/>
      <c r="G455" s="18" t="n"/>
      <c r="H455" s="14" t="n"/>
      <c r="I455" s="14" t="n"/>
      <c r="J455" s="10" t="n"/>
      <c r="K455" s="15">
        <f>IF(OR(A455="",D455=""),"",D455-H455-I455)</f>
        <v/>
      </c>
      <c r="L455" s="12">
        <f>IF(K455="","",IF(K455&gt;0,"На руках",IF(I455&gt;0,IF(H455&gt;0,"Удержан частично","Удержан"),"Возвращён")))</f>
        <v/>
      </c>
      <c r="M455" s="10" t="n"/>
      <c r="N455" s="19">
        <f>IF(K455="","",IF(K455&gt;0,IFERROR(IF(INDEX(Брони!$F$2:$F$500,MATCH(A455,Брони!$A$2:$A$500,0))="Возвращена",TODAY()-INT(INDEX(Брони!$E$2:$E$500,MATCH(A455,Брони!$A$2:$A$500,0))),""),""),""))</f>
        <v/>
      </c>
      <c r="O455" s="19">
        <f>IF(OR(N455="",Настройки!$B$8=""),"",IF(N455&gt;Настройки!$B$8,1,""))</f>
        <v/>
      </c>
    </row>
    <row r="456">
      <c r="A456" s="9" t="n"/>
      <c r="B456" s="12">
        <f>IF(A456="","",IFERROR(INDEX(Брони!$C$2:$C$500,MATCH(A456,Брони!$A$2:$A$500,0)),""))</f>
        <v/>
      </c>
      <c r="C456" s="12">
        <f>IF(A456="","",IFERROR(INDEX(Брони!$B$2:$B$500,MATCH(A456,Брони!$A$2:$A$500,0)),""))</f>
        <v/>
      </c>
      <c r="D456" s="14" t="n"/>
      <c r="E456" s="10" t="n"/>
      <c r="F456" s="18" t="n"/>
      <c r="G456" s="18" t="n"/>
      <c r="H456" s="14" t="n"/>
      <c r="I456" s="14" t="n"/>
      <c r="J456" s="10" t="n"/>
      <c r="K456" s="15">
        <f>IF(OR(A456="",D456=""),"",D456-H456-I456)</f>
        <v/>
      </c>
      <c r="L456" s="12">
        <f>IF(K456="","",IF(K456&gt;0,"На руках",IF(I456&gt;0,IF(H456&gt;0,"Удержан частично","Удержан"),"Возвращён")))</f>
        <v/>
      </c>
      <c r="M456" s="10" t="n"/>
      <c r="N456" s="19">
        <f>IF(K456="","",IF(K456&gt;0,IFERROR(IF(INDEX(Брони!$F$2:$F$500,MATCH(A456,Брони!$A$2:$A$500,0))="Возвращена",TODAY()-INT(INDEX(Брони!$E$2:$E$500,MATCH(A456,Брони!$A$2:$A$500,0))),""),""),""))</f>
        <v/>
      </c>
      <c r="O456" s="19">
        <f>IF(OR(N456="",Настройки!$B$8=""),"",IF(N456&gt;Настройки!$B$8,1,""))</f>
        <v/>
      </c>
    </row>
    <row r="457">
      <c r="A457" s="9" t="n"/>
      <c r="B457" s="12">
        <f>IF(A457="","",IFERROR(INDEX(Брони!$C$2:$C$500,MATCH(A457,Брони!$A$2:$A$500,0)),""))</f>
        <v/>
      </c>
      <c r="C457" s="12">
        <f>IF(A457="","",IFERROR(INDEX(Брони!$B$2:$B$500,MATCH(A457,Брони!$A$2:$A$500,0)),""))</f>
        <v/>
      </c>
      <c r="D457" s="14" t="n"/>
      <c r="E457" s="10" t="n"/>
      <c r="F457" s="18" t="n"/>
      <c r="G457" s="18" t="n"/>
      <c r="H457" s="14" t="n"/>
      <c r="I457" s="14" t="n"/>
      <c r="J457" s="10" t="n"/>
      <c r="K457" s="15">
        <f>IF(OR(A457="",D457=""),"",D457-H457-I457)</f>
        <v/>
      </c>
      <c r="L457" s="12">
        <f>IF(K457="","",IF(K457&gt;0,"На руках",IF(I457&gt;0,IF(H457&gt;0,"Удержан частично","Удержан"),"Возвращён")))</f>
        <v/>
      </c>
      <c r="M457" s="10" t="n"/>
      <c r="N457" s="19">
        <f>IF(K457="","",IF(K457&gt;0,IFERROR(IF(INDEX(Брони!$F$2:$F$500,MATCH(A457,Брони!$A$2:$A$500,0))="Возвращена",TODAY()-INT(INDEX(Брони!$E$2:$E$500,MATCH(A457,Брони!$A$2:$A$500,0))),""),""),""))</f>
        <v/>
      </c>
      <c r="O457" s="19">
        <f>IF(OR(N457="",Настройки!$B$8=""),"",IF(N457&gt;Настройки!$B$8,1,""))</f>
        <v/>
      </c>
    </row>
    <row r="458">
      <c r="A458" s="9" t="n"/>
      <c r="B458" s="12">
        <f>IF(A458="","",IFERROR(INDEX(Брони!$C$2:$C$500,MATCH(A458,Брони!$A$2:$A$500,0)),""))</f>
        <v/>
      </c>
      <c r="C458" s="12">
        <f>IF(A458="","",IFERROR(INDEX(Брони!$B$2:$B$500,MATCH(A458,Брони!$A$2:$A$500,0)),""))</f>
        <v/>
      </c>
      <c r="D458" s="14" t="n"/>
      <c r="E458" s="10" t="n"/>
      <c r="F458" s="18" t="n"/>
      <c r="G458" s="18" t="n"/>
      <c r="H458" s="14" t="n"/>
      <c r="I458" s="14" t="n"/>
      <c r="J458" s="10" t="n"/>
      <c r="K458" s="15">
        <f>IF(OR(A458="",D458=""),"",D458-H458-I458)</f>
        <v/>
      </c>
      <c r="L458" s="12">
        <f>IF(K458="","",IF(K458&gt;0,"На руках",IF(I458&gt;0,IF(H458&gt;0,"Удержан частично","Удержан"),"Возвращён")))</f>
        <v/>
      </c>
      <c r="M458" s="10" t="n"/>
      <c r="N458" s="19">
        <f>IF(K458="","",IF(K458&gt;0,IFERROR(IF(INDEX(Брони!$F$2:$F$500,MATCH(A458,Брони!$A$2:$A$500,0))="Возвращена",TODAY()-INT(INDEX(Брони!$E$2:$E$500,MATCH(A458,Брони!$A$2:$A$500,0))),""),""),""))</f>
        <v/>
      </c>
      <c r="O458" s="19">
        <f>IF(OR(N458="",Настройки!$B$8=""),"",IF(N458&gt;Настройки!$B$8,1,""))</f>
        <v/>
      </c>
    </row>
    <row r="459">
      <c r="A459" s="9" t="n"/>
      <c r="B459" s="12">
        <f>IF(A459="","",IFERROR(INDEX(Брони!$C$2:$C$500,MATCH(A459,Брони!$A$2:$A$500,0)),""))</f>
        <v/>
      </c>
      <c r="C459" s="12">
        <f>IF(A459="","",IFERROR(INDEX(Брони!$B$2:$B$500,MATCH(A459,Брони!$A$2:$A$500,0)),""))</f>
        <v/>
      </c>
      <c r="D459" s="14" t="n"/>
      <c r="E459" s="10" t="n"/>
      <c r="F459" s="18" t="n"/>
      <c r="G459" s="18" t="n"/>
      <c r="H459" s="14" t="n"/>
      <c r="I459" s="14" t="n"/>
      <c r="J459" s="10" t="n"/>
      <c r="K459" s="15">
        <f>IF(OR(A459="",D459=""),"",D459-H459-I459)</f>
        <v/>
      </c>
      <c r="L459" s="12">
        <f>IF(K459="","",IF(K459&gt;0,"На руках",IF(I459&gt;0,IF(H459&gt;0,"Удержан частично","Удержан"),"Возвращён")))</f>
        <v/>
      </c>
      <c r="M459" s="10" t="n"/>
      <c r="N459" s="19">
        <f>IF(K459="","",IF(K459&gt;0,IFERROR(IF(INDEX(Брони!$F$2:$F$500,MATCH(A459,Брони!$A$2:$A$500,0))="Возвращена",TODAY()-INT(INDEX(Брони!$E$2:$E$500,MATCH(A459,Брони!$A$2:$A$500,0))),""),""),""))</f>
        <v/>
      </c>
      <c r="O459" s="19">
        <f>IF(OR(N459="",Настройки!$B$8=""),"",IF(N459&gt;Настройки!$B$8,1,""))</f>
        <v/>
      </c>
    </row>
    <row r="460">
      <c r="A460" s="9" t="n"/>
      <c r="B460" s="12">
        <f>IF(A460="","",IFERROR(INDEX(Брони!$C$2:$C$500,MATCH(A460,Брони!$A$2:$A$500,0)),""))</f>
        <v/>
      </c>
      <c r="C460" s="12">
        <f>IF(A460="","",IFERROR(INDEX(Брони!$B$2:$B$500,MATCH(A460,Брони!$A$2:$A$500,0)),""))</f>
        <v/>
      </c>
      <c r="D460" s="14" t="n"/>
      <c r="E460" s="10" t="n"/>
      <c r="F460" s="18" t="n"/>
      <c r="G460" s="18" t="n"/>
      <c r="H460" s="14" t="n"/>
      <c r="I460" s="14" t="n"/>
      <c r="J460" s="10" t="n"/>
      <c r="K460" s="15">
        <f>IF(OR(A460="",D460=""),"",D460-H460-I460)</f>
        <v/>
      </c>
      <c r="L460" s="12">
        <f>IF(K460="","",IF(K460&gt;0,"На руках",IF(I460&gt;0,IF(H460&gt;0,"Удержан частично","Удержан"),"Возвращён")))</f>
        <v/>
      </c>
      <c r="M460" s="10" t="n"/>
      <c r="N460" s="19">
        <f>IF(K460="","",IF(K460&gt;0,IFERROR(IF(INDEX(Брони!$F$2:$F$500,MATCH(A460,Брони!$A$2:$A$500,0))="Возвращена",TODAY()-INT(INDEX(Брони!$E$2:$E$500,MATCH(A460,Брони!$A$2:$A$500,0))),""),""),""))</f>
        <v/>
      </c>
      <c r="O460" s="19">
        <f>IF(OR(N460="",Настройки!$B$8=""),"",IF(N460&gt;Настройки!$B$8,1,""))</f>
        <v/>
      </c>
    </row>
    <row r="461">
      <c r="A461" s="9" t="n"/>
      <c r="B461" s="12">
        <f>IF(A461="","",IFERROR(INDEX(Брони!$C$2:$C$500,MATCH(A461,Брони!$A$2:$A$500,0)),""))</f>
        <v/>
      </c>
      <c r="C461" s="12">
        <f>IF(A461="","",IFERROR(INDEX(Брони!$B$2:$B$500,MATCH(A461,Брони!$A$2:$A$500,0)),""))</f>
        <v/>
      </c>
      <c r="D461" s="14" t="n"/>
      <c r="E461" s="10" t="n"/>
      <c r="F461" s="18" t="n"/>
      <c r="G461" s="18" t="n"/>
      <c r="H461" s="14" t="n"/>
      <c r="I461" s="14" t="n"/>
      <c r="J461" s="10" t="n"/>
      <c r="K461" s="15">
        <f>IF(OR(A461="",D461=""),"",D461-H461-I461)</f>
        <v/>
      </c>
      <c r="L461" s="12">
        <f>IF(K461="","",IF(K461&gt;0,"На руках",IF(I461&gt;0,IF(H461&gt;0,"Удержан частично","Удержан"),"Возвращён")))</f>
        <v/>
      </c>
      <c r="M461" s="10" t="n"/>
      <c r="N461" s="19">
        <f>IF(K461="","",IF(K461&gt;0,IFERROR(IF(INDEX(Брони!$F$2:$F$500,MATCH(A461,Брони!$A$2:$A$500,0))="Возвращена",TODAY()-INT(INDEX(Брони!$E$2:$E$500,MATCH(A461,Брони!$A$2:$A$500,0))),""),""),""))</f>
        <v/>
      </c>
      <c r="O461" s="19">
        <f>IF(OR(N461="",Настройки!$B$8=""),"",IF(N461&gt;Настройки!$B$8,1,""))</f>
        <v/>
      </c>
    </row>
    <row r="462">
      <c r="A462" s="9" t="n"/>
      <c r="B462" s="12">
        <f>IF(A462="","",IFERROR(INDEX(Брони!$C$2:$C$500,MATCH(A462,Брони!$A$2:$A$500,0)),""))</f>
        <v/>
      </c>
      <c r="C462" s="12">
        <f>IF(A462="","",IFERROR(INDEX(Брони!$B$2:$B$500,MATCH(A462,Брони!$A$2:$A$500,0)),""))</f>
        <v/>
      </c>
      <c r="D462" s="14" t="n"/>
      <c r="E462" s="10" t="n"/>
      <c r="F462" s="18" t="n"/>
      <c r="G462" s="18" t="n"/>
      <c r="H462" s="14" t="n"/>
      <c r="I462" s="14" t="n"/>
      <c r="J462" s="10" t="n"/>
      <c r="K462" s="15">
        <f>IF(OR(A462="",D462=""),"",D462-H462-I462)</f>
        <v/>
      </c>
      <c r="L462" s="12">
        <f>IF(K462="","",IF(K462&gt;0,"На руках",IF(I462&gt;0,IF(H462&gt;0,"Удержан частично","Удержан"),"Возвращён")))</f>
        <v/>
      </c>
      <c r="M462" s="10" t="n"/>
      <c r="N462" s="19">
        <f>IF(K462="","",IF(K462&gt;0,IFERROR(IF(INDEX(Брони!$F$2:$F$500,MATCH(A462,Брони!$A$2:$A$500,0))="Возвращена",TODAY()-INT(INDEX(Брони!$E$2:$E$500,MATCH(A462,Брони!$A$2:$A$500,0))),""),""),""))</f>
        <v/>
      </c>
      <c r="O462" s="19">
        <f>IF(OR(N462="",Настройки!$B$8=""),"",IF(N462&gt;Настройки!$B$8,1,""))</f>
        <v/>
      </c>
    </row>
    <row r="463">
      <c r="A463" s="9" t="n"/>
      <c r="B463" s="12">
        <f>IF(A463="","",IFERROR(INDEX(Брони!$C$2:$C$500,MATCH(A463,Брони!$A$2:$A$500,0)),""))</f>
        <v/>
      </c>
      <c r="C463" s="12">
        <f>IF(A463="","",IFERROR(INDEX(Брони!$B$2:$B$500,MATCH(A463,Брони!$A$2:$A$500,0)),""))</f>
        <v/>
      </c>
      <c r="D463" s="14" t="n"/>
      <c r="E463" s="10" t="n"/>
      <c r="F463" s="18" t="n"/>
      <c r="G463" s="18" t="n"/>
      <c r="H463" s="14" t="n"/>
      <c r="I463" s="14" t="n"/>
      <c r="J463" s="10" t="n"/>
      <c r="K463" s="15">
        <f>IF(OR(A463="",D463=""),"",D463-H463-I463)</f>
        <v/>
      </c>
      <c r="L463" s="12">
        <f>IF(K463="","",IF(K463&gt;0,"На руках",IF(I463&gt;0,IF(H463&gt;0,"Удержан частично","Удержан"),"Возвращён")))</f>
        <v/>
      </c>
      <c r="M463" s="10" t="n"/>
      <c r="N463" s="19">
        <f>IF(K463="","",IF(K463&gt;0,IFERROR(IF(INDEX(Брони!$F$2:$F$500,MATCH(A463,Брони!$A$2:$A$500,0))="Возвращена",TODAY()-INT(INDEX(Брони!$E$2:$E$500,MATCH(A463,Брони!$A$2:$A$500,0))),""),""),""))</f>
        <v/>
      </c>
      <c r="O463" s="19">
        <f>IF(OR(N463="",Настройки!$B$8=""),"",IF(N463&gt;Настройки!$B$8,1,""))</f>
        <v/>
      </c>
    </row>
    <row r="464">
      <c r="A464" s="9" t="n"/>
      <c r="B464" s="12">
        <f>IF(A464="","",IFERROR(INDEX(Брони!$C$2:$C$500,MATCH(A464,Брони!$A$2:$A$500,0)),""))</f>
        <v/>
      </c>
      <c r="C464" s="12">
        <f>IF(A464="","",IFERROR(INDEX(Брони!$B$2:$B$500,MATCH(A464,Брони!$A$2:$A$500,0)),""))</f>
        <v/>
      </c>
      <c r="D464" s="14" t="n"/>
      <c r="E464" s="10" t="n"/>
      <c r="F464" s="18" t="n"/>
      <c r="G464" s="18" t="n"/>
      <c r="H464" s="14" t="n"/>
      <c r="I464" s="14" t="n"/>
      <c r="J464" s="10" t="n"/>
      <c r="K464" s="15">
        <f>IF(OR(A464="",D464=""),"",D464-H464-I464)</f>
        <v/>
      </c>
      <c r="L464" s="12">
        <f>IF(K464="","",IF(K464&gt;0,"На руках",IF(I464&gt;0,IF(H464&gt;0,"Удержан частично","Удержан"),"Возвращён")))</f>
        <v/>
      </c>
      <c r="M464" s="10" t="n"/>
      <c r="N464" s="19">
        <f>IF(K464="","",IF(K464&gt;0,IFERROR(IF(INDEX(Брони!$F$2:$F$500,MATCH(A464,Брони!$A$2:$A$500,0))="Возвращена",TODAY()-INT(INDEX(Брони!$E$2:$E$500,MATCH(A464,Брони!$A$2:$A$500,0))),""),""),""))</f>
        <v/>
      </c>
      <c r="O464" s="19">
        <f>IF(OR(N464="",Настройки!$B$8=""),"",IF(N464&gt;Настройки!$B$8,1,""))</f>
        <v/>
      </c>
    </row>
    <row r="465">
      <c r="A465" s="9" t="n"/>
      <c r="B465" s="12">
        <f>IF(A465="","",IFERROR(INDEX(Брони!$C$2:$C$500,MATCH(A465,Брони!$A$2:$A$500,0)),""))</f>
        <v/>
      </c>
      <c r="C465" s="12">
        <f>IF(A465="","",IFERROR(INDEX(Брони!$B$2:$B$500,MATCH(A465,Брони!$A$2:$A$500,0)),""))</f>
        <v/>
      </c>
      <c r="D465" s="14" t="n"/>
      <c r="E465" s="10" t="n"/>
      <c r="F465" s="18" t="n"/>
      <c r="G465" s="18" t="n"/>
      <c r="H465" s="14" t="n"/>
      <c r="I465" s="14" t="n"/>
      <c r="J465" s="10" t="n"/>
      <c r="K465" s="15">
        <f>IF(OR(A465="",D465=""),"",D465-H465-I465)</f>
        <v/>
      </c>
      <c r="L465" s="12">
        <f>IF(K465="","",IF(K465&gt;0,"На руках",IF(I465&gt;0,IF(H465&gt;0,"Удержан частично","Удержан"),"Возвращён")))</f>
        <v/>
      </c>
      <c r="M465" s="10" t="n"/>
      <c r="N465" s="19">
        <f>IF(K465="","",IF(K465&gt;0,IFERROR(IF(INDEX(Брони!$F$2:$F$500,MATCH(A465,Брони!$A$2:$A$500,0))="Возвращена",TODAY()-INT(INDEX(Брони!$E$2:$E$500,MATCH(A465,Брони!$A$2:$A$500,0))),""),""),""))</f>
        <v/>
      </c>
      <c r="O465" s="19">
        <f>IF(OR(N465="",Настройки!$B$8=""),"",IF(N465&gt;Настройки!$B$8,1,""))</f>
        <v/>
      </c>
    </row>
    <row r="466">
      <c r="A466" s="9" t="n"/>
      <c r="B466" s="12">
        <f>IF(A466="","",IFERROR(INDEX(Брони!$C$2:$C$500,MATCH(A466,Брони!$A$2:$A$500,0)),""))</f>
        <v/>
      </c>
      <c r="C466" s="12">
        <f>IF(A466="","",IFERROR(INDEX(Брони!$B$2:$B$500,MATCH(A466,Брони!$A$2:$A$500,0)),""))</f>
        <v/>
      </c>
      <c r="D466" s="14" t="n"/>
      <c r="E466" s="10" t="n"/>
      <c r="F466" s="18" t="n"/>
      <c r="G466" s="18" t="n"/>
      <c r="H466" s="14" t="n"/>
      <c r="I466" s="14" t="n"/>
      <c r="J466" s="10" t="n"/>
      <c r="K466" s="15">
        <f>IF(OR(A466="",D466=""),"",D466-H466-I466)</f>
        <v/>
      </c>
      <c r="L466" s="12">
        <f>IF(K466="","",IF(K466&gt;0,"На руках",IF(I466&gt;0,IF(H466&gt;0,"Удержан частично","Удержан"),"Возвращён")))</f>
        <v/>
      </c>
      <c r="M466" s="10" t="n"/>
      <c r="N466" s="19">
        <f>IF(K466="","",IF(K466&gt;0,IFERROR(IF(INDEX(Брони!$F$2:$F$500,MATCH(A466,Брони!$A$2:$A$500,0))="Возвращена",TODAY()-INT(INDEX(Брони!$E$2:$E$500,MATCH(A466,Брони!$A$2:$A$500,0))),""),""),""))</f>
        <v/>
      </c>
      <c r="O466" s="19">
        <f>IF(OR(N466="",Настройки!$B$8=""),"",IF(N466&gt;Настройки!$B$8,1,""))</f>
        <v/>
      </c>
    </row>
    <row r="467">
      <c r="A467" s="9" t="n"/>
      <c r="B467" s="12">
        <f>IF(A467="","",IFERROR(INDEX(Брони!$C$2:$C$500,MATCH(A467,Брони!$A$2:$A$500,0)),""))</f>
        <v/>
      </c>
      <c r="C467" s="12">
        <f>IF(A467="","",IFERROR(INDEX(Брони!$B$2:$B$500,MATCH(A467,Брони!$A$2:$A$500,0)),""))</f>
        <v/>
      </c>
      <c r="D467" s="14" t="n"/>
      <c r="E467" s="10" t="n"/>
      <c r="F467" s="18" t="n"/>
      <c r="G467" s="18" t="n"/>
      <c r="H467" s="14" t="n"/>
      <c r="I467" s="14" t="n"/>
      <c r="J467" s="10" t="n"/>
      <c r="K467" s="15">
        <f>IF(OR(A467="",D467=""),"",D467-H467-I467)</f>
        <v/>
      </c>
      <c r="L467" s="12">
        <f>IF(K467="","",IF(K467&gt;0,"На руках",IF(I467&gt;0,IF(H467&gt;0,"Удержан частично","Удержан"),"Возвращён")))</f>
        <v/>
      </c>
      <c r="M467" s="10" t="n"/>
      <c r="N467" s="19">
        <f>IF(K467="","",IF(K467&gt;0,IFERROR(IF(INDEX(Брони!$F$2:$F$500,MATCH(A467,Брони!$A$2:$A$500,0))="Возвращена",TODAY()-INT(INDEX(Брони!$E$2:$E$500,MATCH(A467,Брони!$A$2:$A$500,0))),""),""),""))</f>
        <v/>
      </c>
      <c r="O467" s="19">
        <f>IF(OR(N467="",Настройки!$B$8=""),"",IF(N467&gt;Настройки!$B$8,1,""))</f>
        <v/>
      </c>
    </row>
    <row r="468">
      <c r="A468" s="9" t="n"/>
      <c r="B468" s="12">
        <f>IF(A468="","",IFERROR(INDEX(Брони!$C$2:$C$500,MATCH(A468,Брони!$A$2:$A$500,0)),""))</f>
        <v/>
      </c>
      <c r="C468" s="12">
        <f>IF(A468="","",IFERROR(INDEX(Брони!$B$2:$B$500,MATCH(A468,Брони!$A$2:$A$500,0)),""))</f>
        <v/>
      </c>
      <c r="D468" s="14" t="n"/>
      <c r="E468" s="10" t="n"/>
      <c r="F468" s="18" t="n"/>
      <c r="G468" s="18" t="n"/>
      <c r="H468" s="14" t="n"/>
      <c r="I468" s="14" t="n"/>
      <c r="J468" s="10" t="n"/>
      <c r="K468" s="15">
        <f>IF(OR(A468="",D468=""),"",D468-H468-I468)</f>
        <v/>
      </c>
      <c r="L468" s="12">
        <f>IF(K468="","",IF(K468&gt;0,"На руках",IF(I468&gt;0,IF(H468&gt;0,"Удержан частично","Удержан"),"Возвращён")))</f>
        <v/>
      </c>
      <c r="M468" s="10" t="n"/>
      <c r="N468" s="19">
        <f>IF(K468="","",IF(K468&gt;0,IFERROR(IF(INDEX(Брони!$F$2:$F$500,MATCH(A468,Брони!$A$2:$A$500,0))="Возвращена",TODAY()-INT(INDEX(Брони!$E$2:$E$500,MATCH(A468,Брони!$A$2:$A$500,0))),""),""),""))</f>
        <v/>
      </c>
      <c r="O468" s="19">
        <f>IF(OR(N468="",Настройки!$B$8=""),"",IF(N468&gt;Настройки!$B$8,1,""))</f>
        <v/>
      </c>
    </row>
    <row r="469">
      <c r="A469" s="9" t="n"/>
      <c r="B469" s="12">
        <f>IF(A469="","",IFERROR(INDEX(Брони!$C$2:$C$500,MATCH(A469,Брони!$A$2:$A$500,0)),""))</f>
        <v/>
      </c>
      <c r="C469" s="12">
        <f>IF(A469="","",IFERROR(INDEX(Брони!$B$2:$B$500,MATCH(A469,Брони!$A$2:$A$500,0)),""))</f>
        <v/>
      </c>
      <c r="D469" s="14" t="n"/>
      <c r="E469" s="10" t="n"/>
      <c r="F469" s="18" t="n"/>
      <c r="G469" s="18" t="n"/>
      <c r="H469" s="14" t="n"/>
      <c r="I469" s="14" t="n"/>
      <c r="J469" s="10" t="n"/>
      <c r="K469" s="15">
        <f>IF(OR(A469="",D469=""),"",D469-H469-I469)</f>
        <v/>
      </c>
      <c r="L469" s="12">
        <f>IF(K469="","",IF(K469&gt;0,"На руках",IF(I469&gt;0,IF(H469&gt;0,"Удержан частично","Удержан"),"Возвращён")))</f>
        <v/>
      </c>
      <c r="M469" s="10" t="n"/>
      <c r="N469" s="19">
        <f>IF(K469="","",IF(K469&gt;0,IFERROR(IF(INDEX(Брони!$F$2:$F$500,MATCH(A469,Брони!$A$2:$A$500,0))="Возвращена",TODAY()-INT(INDEX(Брони!$E$2:$E$500,MATCH(A469,Брони!$A$2:$A$500,0))),""),""),""))</f>
        <v/>
      </c>
      <c r="O469" s="19">
        <f>IF(OR(N469="",Настройки!$B$8=""),"",IF(N469&gt;Настройки!$B$8,1,""))</f>
        <v/>
      </c>
    </row>
    <row r="470">
      <c r="A470" s="9" t="n"/>
      <c r="B470" s="12">
        <f>IF(A470="","",IFERROR(INDEX(Брони!$C$2:$C$500,MATCH(A470,Брони!$A$2:$A$500,0)),""))</f>
        <v/>
      </c>
      <c r="C470" s="12">
        <f>IF(A470="","",IFERROR(INDEX(Брони!$B$2:$B$500,MATCH(A470,Брони!$A$2:$A$500,0)),""))</f>
        <v/>
      </c>
      <c r="D470" s="14" t="n"/>
      <c r="E470" s="10" t="n"/>
      <c r="F470" s="18" t="n"/>
      <c r="G470" s="18" t="n"/>
      <c r="H470" s="14" t="n"/>
      <c r="I470" s="14" t="n"/>
      <c r="J470" s="10" t="n"/>
      <c r="K470" s="15">
        <f>IF(OR(A470="",D470=""),"",D470-H470-I470)</f>
        <v/>
      </c>
      <c r="L470" s="12">
        <f>IF(K470="","",IF(K470&gt;0,"На руках",IF(I470&gt;0,IF(H470&gt;0,"Удержан частично","Удержан"),"Возвращён")))</f>
        <v/>
      </c>
      <c r="M470" s="10" t="n"/>
      <c r="N470" s="19">
        <f>IF(K470="","",IF(K470&gt;0,IFERROR(IF(INDEX(Брони!$F$2:$F$500,MATCH(A470,Брони!$A$2:$A$500,0))="Возвращена",TODAY()-INT(INDEX(Брони!$E$2:$E$500,MATCH(A470,Брони!$A$2:$A$500,0))),""),""),""))</f>
        <v/>
      </c>
      <c r="O470" s="19">
        <f>IF(OR(N470="",Настройки!$B$8=""),"",IF(N470&gt;Настройки!$B$8,1,""))</f>
        <v/>
      </c>
    </row>
    <row r="471">
      <c r="A471" s="9" t="n"/>
      <c r="B471" s="12">
        <f>IF(A471="","",IFERROR(INDEX(Брони!$C$2:$C$500,MATCH(A471,Брони!$A$2:$A$500,0)),""))</f>
        <v/>
      </c>
      <c r="C471" s="12">
        <f>IF(A471="","",IFERROR(INDEX(Брони!$B$2:$B$500,MATCH(A471,Брони!$A$2:$A$500,0)),""))</f>
        <v/>
      </c>
      <c r="D471" s="14" t="n"/>
      <c r="E471" s="10" t="n"/>
      <c r="F471" s="18" t="n"/>
      <c r="G471" s="18" t="n"/>
      <c r="H471" s="14" t="n"/>
      <c r="I471" s="14" t="n"/>
      <c r="J471" s="10" t="n"/>
      <c r="K471" s="15">
        <f>IF(OR(A471="",D471=""),"",D471-H471-I471)</f>
        <v/>
      </c>
      <c r="L471" s="12">
        <f>IF(K471="","",IF(K471&gt;0,"На руках",IF(I471&gt;0,IF(H471&gt;0,"Удержан частично","Удержан"),"Возвращён")))</f>
        <v/>
      </c>
      <c r="M471" s="10" t="n"/>
      <c r="N471" s="19">
        <f>IF(K471="","",IF(K471&gt;0,IFERROR(IF(INDEX(Брони!$F$2:$F$500,MATCH(A471,Брони!$A$2:$A$500,0))="Возвращена",TODAY()-INT(INDEX(Брони!$E$2:$E$500,MATCH(A471,Брони!$A$2:$A$500,0))),""),""),""))</f>
        <v/>
      </c>
      <c r="O471" s="19">
        <f>IF(OR(N471="",Настройки!$B$8=""),"",IF(N471&gt;Настройки!$B$8,1,""))</f>
        <v/>
      </c>
    </row>
    <row r="472">
      <c r="A472" s="9" t="n"/>
      <c r="B472" s="12">
        <f>IF(A472="","",IFERROR(INDEX(Брони!$C$2:$C$500,MATCH(A472,Брони!$A$2:$A$500,0)),""))</f>
        <v/>
      </c>
      <c r="C472" s="12">
        <f>IF(A472="","",IFERROR(INDEX(Брони!$B$2:$B$500,MATCH(A472,Брони!$A$2:$A$500,0)),""))</f>
        <v/>
      </c>
      <c r="D472" s="14" t="n"/>
      <c r="E472" s="10" t="n"/>
      <c r="F472" s="18" t="n"/>
      <c r="G472" s="18" t="n"/>
      <c r="H472" s="14" t="n"/>
      <c r="I472" s="14" t="n"/>
      <c r="J472" s="10" t="n"/>
      <c r="K472" s="15">
        <f>IF(OR(A472="",D472=""),"",D472-H472-I472)</f>
        <v/>
      </c>
      <c r="L472" s="12">
        <f>IF(K472="","",IF(K472&gt;0,"На руках",IF(I472&gt;0,IF(H472&gt;0,"Удержан частично","Удержан"),"Возвращён")))</f>
        <v/>
      </c>
      <c r="M472" s="10" t="n"/>
      <c r="N472" s="19">
        <f>IF(K472="","",IF(K472&gt;0,IFERROR(IF(INDEX(Брони!$F$2:$F$500,MATCH(A472,Брони!$A$2:$A$500,0))="Возвращена",TODAY()-INT(INDEX(Брони!$E$2:$E$500,MATCH(A472,Брони!$A$2:$A$500,0))),""),""),""))</f>
        <v/>
      </c>
      <c r="O472" s="19">
        <f>IF(OR(N472="",Настройки!$B$8=""),"",IF(N472&gt;Настройки!$B$8,1,""))</f>
        <v/>
      </c>
    </row>
    <row r="473">
      <c r="A473" s="9" t="n"/>
      <c r="B473" s="12">
        <f>IF(A473="","",IFERROR(INDEX(Брони!$C$2:$C$500,MATCH(A473,Брони!$A$2:$A$500,0)),""))</f>
        <v/>
      </c>
      <c r="C473" s="12">
        <f>IF(A473="","",IFERROR(INDEX(Брони!$B$2:$B$500,MATCH(A473,Брони!$A$2:$A$500,0)),""))</f>
        <v/>
      </c>
      <c r="D473" s="14" t="n"/>
      <c r="E473" s="10" t="n"/>
      <c r="F473" s="18" t="n"/>
      <c r="G473" s="18" t="n"/>
      <c r="H473" s="14" t="n"/>
      <c r="I473" s="14" t="n"/>
      <c r="J473" s="10" t="n"/>
      <c r="K473" s="15">
        <f>IF(OR(A473="",D473=""),"",D473-H473-I473)</f>
        <v/>
      </c>
      <c r="L473" s="12">
        <f>IF(K473="","",IF(K473&gt;0,"На руках",IF(I473&gt;0,IF(H473&gt;0,"Удержан частично","Удержан"),"Возвращён")))</f>
        <v/>
      </c>
      <c r="M473" s="10" t="n"/>
      <c r="N473" s="19">
        <f>IF(K473="","",IF(K473&gt;0,IFERROR(IF(INDEX(Брони!$F$2:$F$500,MATCH(A473,Брони!$A$2:$A$500,0))="Возвращена",TODAY()-INT(INDEX(Брони!$E$2:$E$500,MATCH(A473,Брони!$A$2:$A$500,0))),""),""),""))</f>
        <v/>
      </c>
      <c r="O473" s="19">
        <f>IF(OR(N473="",Настройки!$B$8=""),"",IF(N473&gt;Настройки!$B$8,1,""))</f>
        <v/>
      </c>
    </row>
    <row r="474">
      <c r="A474" s="9" t="n"/>
      <c r="B474" s="12">
        <f>IF(A474="","",IFERROR(INDEX(Брони!$C$2:$C$500,MATCH(A474,Брони!$A$2:$A$500,0)),""))</f>
        <v/>
      </c>
      <c r="C474" s="12">
        <f>IF(A474="","",IFERROR(INDEX(Брони!$B$2:$B$500,MATCH(A474,Брони!$A$2:$A$500,0)),""))</f>
        <v/>
      </c>
      <c r="D474" s="14" t="n"/>
      <c r="E474" s="10" t="n"/>
      <c r="F474" s="18" t="n"/>
      <c r="G474" s="18" t="n"/>
      <c r="H474" s="14" t="n"/>
      <c r="I474" s="14" t="n"/>
      <c r="J474" s="10" t="n"/>
      <c r="K474" s="15">
        <f>IF(OR(A474="",D474=""),"",D474-H474-I474)</f>
        <v/>
      </c>
      <c r="L474" s="12">
        <f>IF(K474="","",IF(K474&gt;0,"На руках",IF(I474&gt;0,IF(H474&gt;0,"Удержан частично","Удержан"),"Возвращён")))</f>
        <v/>
      </c>
      <c r="M474" s="10" t="n"/>
      <c r="N474" s="19">
        <f>IF(K474="","",IF(K474&gt;0,IFERROR(IF(INDEX(Брони!$F$2:$F$500,MATCH(A474,Брони!$A$2:$A$500,0))="Возвращена",TODAY()-INT(INDEX(Брони!$E$2:$E$500,MATCH(A474,Брони!$A$2:$A$500,0))),""),""),""))</f>
        <v/>
      </c>
      <c r="O474" s="19">
        <f>IF(OR(N474="",Настройки!$B$8=""),"",IF(N474&gt;Настройки!$B$8,1,""))</f>
        <v/>
      </c>
    </row>
    <row r="475">
      <c r="A475" s="9" t="n"/>
      <c r="B475" s="12">
        <f>IF(A475="","",IFERROR(INDEX(Брони!$C$2:$C$500,MATCH(A475,Брони!$A$2:$A$500,0)),""))</f>
        <v/>
      </c>
      <c r="C475" s="12">
        <f>IF(A475="","",IFERROR(INDEX(Брони!$B$2:$B$500,MATCH(A475,Брони!$A$2:$A$500,0)),""))</f>
        <v/>
      </c>
      <c r="D475" s="14" t="n"/>
      <c r="E475" s="10" t="n"/>
      <c r="F475" s="18" t="n"/>
      <c r="G475" s="18" t="n"/>
      <c r="H475" s="14" t="n"/>
      <c r="I475" s="14" t="n"/>
      <c r="J475" s="10" t="n"/>
      <c r="K475" s="15">
        <f>IF(OR(A475="",D475=""),"",D475-H475-I475)</f>
        <v/>
      </c>
      <c r="L475" s="12">
        <f>IF(K475="","",IF(K475&gt;0,"На руках",IF(I475&gt;0,IF(H475&gt;0,"Удержан частично","Удержан"),"Возвращён")))</f>
        <v/>
      </c>
      <c r="M475" s="10" t="n"/>
      <c r="N475" s="19">
        <f>IF(K475="","",IF(K475&gt;0,IFERROR(IF(INDEX(Брони!$F$2:$F$500,MATCH(A475,Брони!$A$2:$A$500,0))="Возвращена",TODAY()-INT(INDEX(Брони!$E$2:$E$500,MATCH(A475,Брони!$A$2:$A$500,0))),""),""),""))</f>
        <v/>
      </c>
      <c r="O475" s="19">
        <f>IF(OR(N475="",Настройки!$B$8=""),"",IF(N475&gt;Настройки!$B$8,1,""))</f>
        <v/>
      </c>
    </row>
    <row r="476">
      <c r="A476" s="9" t="n"/>
      <c r="B476" s="12">
        <f>IF(A476="","",IFERROR(INDEX(Брони!$C$2:$C$500,MATCH(A476,Брони!$A$2:$A$500,0)),""))</f>
        <v/>
      </c>
      <c r="C476" s="12">
        <f>IF(A476="","",IFERROR(INDEX(Брони!$B$2:$B$500,MATCH(A476,Брони!$A$2:$A$500,0)),""))</f>
        <v/>
      </c>
      <c r="D476" s="14" t="n"/>
      <c r="E476" s="10" t="n"/>
      <c r="F476" s="18" t="n"/>
      <c r="G476" s="18" t="n"/>
      <c r="H476" s="14" t="n"/>
      <c r="I476" s="14" t="n"/>
      <c r="J476" s="10" t="n"/>
      <c r="K476" s="15">
        <f>IF(OR(A476="",D476=""),"",D476-H476-I476)</f>
        <v/>
      </c>
      <c r="L476" s="12">
        <f>IF(K476="","",IF(K476&gt;0,"На руках",IF(I476&gt;0,IF(H476&gt;0,"Удержан частично","Удержан"),"Возвращён")))</f>
        <v/>
      </c>
      <c r="M476" s="10" t="n"/>
      <c r="N476" s="19">
        <f>IF(K476="","",IF(K476&gt;0,IFERROR(IF(INDEX(Брони!$F$2:$F$500,MATCH(A476,Брони!$A$2:$A$500,0))="Возвращена",TODAY()-INT(INDEX(Брони!$E$2:$E$500,MATCH(A476,Брони!$A$2:$A$500,0))),""),""),""))</f>
        <v/>
      </c>
      <c r="O476" s="19">
        <f>IF(OR(N476="",Настройки!$B$8=""),"",IF(N476&gt;Настройки!$B$8,1,""))</f>
        <v/>
      </c>
    </row>
    <row r="477">
      <c r="A477" s="9" t="n"/>
      <c r="B477" s="12">
        <f>IF(A477="","",IFERROR(INDEX(Брони!$C$2:$C$500,MATCH(A477,Брони!$A$2:$A$500,0)),""))</f>
        <v/>
      </c>
      <c r="C477" s="12">
        <f>IF(A477="","",IFERROR(INDEX(Брони!$B$2:$B$500,MATCH(A477,Брони!$A$2:$A$500,0)),""))</f>
        <v/>
      </c>
      <c r="D477" s="14" t="n"/>
      <c r="E477" s="10" t="n"/>
      <c r="F477" s="18" t="n"/>
      <c r="G477" s="18" t="n"/>
      <c r="H477" s="14" t="n"/>
      <c r="I477" s="14" t="n"/>
      <c r="J477" s="10" t="n"/>
      <c r="K477" s="15">
        <f>IF(OR(A477="",D477=""),"",D477-H477-I477)</f>
        <v/>
      </c>
      <c r="L477" s="12">
        <f>IF(K477="","",IF(K477&gt;0,"На руках",IF(I477&gt;0,IF(H477&gt;0,"Удержан частично","Удержан"),"Возвращён")))</f>
        <v/>
      </c>
      <c r="M477" s="10" t="n"/>
      <c r="N477" s="19">
        <f>IF(K477="","",IF(K477&gt;0,IFERROR(IF(INDEX(Брони!$F$2:$F$500,MATCH(A477,Брони!$A$2:$A$500,0))="Возвращена",TODAY()-INT(INDEX(Брони!$E$2:$E$500,MATCH(A477,Брони!$A$2:$A$500,0))),""),""),""))</f>
        <v/>
      </c>
      <c r="O477" s="19">
        <f>IF(OR(N477="",Настройки!$B$8=""),"",IF(N477&gt;Настройки!$B$8,1,""))</f>
        <v/>
      </c>
    </row>
    <row r="478">
      <c r="A478" s="9" t="n"/>
      <c r="B478" s="12">
        <f>IF(A478="","",IFERROR(INDEX(Брони!$C$2:$C$500,MATCH(A478,Брони!$A$2:$A$500,0)),""))</f>
        <v/>
      </c>
      <c r="C478" s="12">
        <f>IF(A478="","",IFERROR(INDEX(Брони!$B$2:$B$500,MATCH(A478,Брони!$A$2:$A$500,0)),""))</f>
        <v/>
      </c>
      <c r="D478" s="14" t="n"/>
      <c r="E478" s="10" t="n"/>
      <c r="F478" s="18" t="n"/>
      <c r="G478" s="18" t="n"/>
      <c r="H478" s="14" t="n"/>
      <c r="I478" s="14" t="n"/>
      <c r="J478" s="10" t="n"/>
      <c r="K478" s="15">
        <f>IF(OR(A478="",D478=""),"",D478-H478-I478)</f>
        <v/>
      </c>
      <c r="L478" s="12">
        <f>IF(K478="","",IF(K478&gt;0,"На руках",IF(I478&gt;0,IF(H478&gt;0,"Удержан частично","Удержан"),"Возвращён")))</f>
        <v/>
      </c>
      <c r="M478" s="10" t="n"/>
      <c r="N478" s="19">
        <f>IF(K478="","",IF(K478&gt;0,IFERROR(IF(INDEX(Брони!$F$2:$F$500,MATCH(A478,Брони!$A$2:$A$500,0))="Возвращена",TODAY()-INT(INDEX(Брони!$E$2:$E$500,MATCH(A478,Брони!$A$2:$A$500,0))),""),""),""))</f>
        <v/>
      </c>
      <c r="O478" s="19">
        <f>IF(OR(N478="",Настройки!$B$8=""),"",IF(N478&gt;Настройки!$B$8,1,""))</f>
        <v/>
      </c>
    </row>
    <row r="479">
      <c r="A479" s="9" t="n"/>
      <c r="B479" s="12">
        <f>IF(A479="","",IFERROR(INDEX(Брони!$C$2:$C$500,MATCH(A479,Брони!$A$2:$A$500,0)),""))</f>
        <v/>
      </c>
      <c r="C479" s="12">
        <f>IF(A479="","",IFERROR(INDEX(Брони!$B$2:$B$500,MATCH(A479,Брони!$A$2:$A$500,0)),""))</f>
        <v/>
      </c>
      <c r="D479" s="14" t="n"/>
      <c r="E479" s="10" t="n"/>
      <c r="F479" s="18" t="n"/>
      <c r="G479" s="18" t="n"/>
      <c r="H479" s="14" t="n"/>
      <c r="I479" s="14" t="n"/>
      <c r="J479" s="10" t="n"/>
      <c r="K479" s="15">
        <f>IF(OR(A479="",D479=""),"",D479-H479-I479)</f>
        <v/>
      </c>
      <c r="L479" s="12">
        <f>IF(K479="","",IF(K479&gt;0,"На руках",IF(I479&gt;0,IF(H479&gt;0,"Удержан частично","Удержан"),"Возвращён")))</f>
        <v/>
      </c>
      <c r="M479" s="10" t="n"/>
      <c r="N479" s="19">
        <f>IF(K479="","",IF(K479&gt;0,IFERROR(IF(INDEX(Брони!$F$2:$F$500,MATCH(A479,Брони!$A$2:$A$500,0))="Возвращена",TODAY()-INT(INDEX(Брони!$E$2:$E$500,MATCH(A479,Брони!$A$2:$A$500,0))),""),""),""))</f>
        <v/>
      </c>
      <c r="O479" s="19">
        <f>IF(OR(N479="",Настройки!$B$8=""),"",IF(N479&gt;Настройки!$B$8,1,""))</f>
        <v/>
      </c>
    </row>
    <row r="480">
      <c r="A480" s="9" t="n"/>
      <c r="B480" s="12">
        <f>IF(A480="","",IFERROR(INDEX(Брони!$C$2:$C$500,MATCH(A480,Брони!$A$2:$A$500,0)),""))</f>
        <v/>
      </c>
      <c r="C480" s="12">
        <f>IF(A480="","",IFERROR(INDEX(Брони!$B$2:$B$500,MATCH(A480,Брони!$A$2:$A$500,0)),""))</f>
        <v/>
      </c>
      <c r="D480" s="14" t="n"/>
      <c r="E480" s="10" t="n"/>
      <c r="F480" s="18" t="n"/>
      <c r="G480" s="18" t="n"/>
      <c r="H480" s="14" t="n"/>
      <c r="I480" s="14" t="n"/>
      <c r="J480" s="10" t="n"/>
      <c r="K480" s="15">
        <f>IF(OR(A480="",D480=""),"",D480-H480-I480)</f>
        <v/>
      </c>
      <c r="L480" s="12">
        <f>IF(K480="","",IF(K480&gt;0,"На руках",IF(I480&gt;0,IF(H480&gt;0,"Удержан частично","Удержан"),"Возвращён")))</f>
        <v/>
      </c>
      <c r="M480" s="10" t="n"/>
      <c r="N480" s="19">
        <f>IF(K480="","",IF(K480&gt;0,IFERROR(IF(INDEX(Брони!$F$2:$F$500,MATCH(A480,Брони!$A$2:$A$500,0))="Возвращена",TODAY()-INT(INDEX(Брони!$E$2:$E$500,MATCH(A480,Брони!$A$2:$A$500,0))),""),""),""))</f>
        <v/>
      </c>
      <c r="O480" s="19">
        <f>IF(OR(N480="",Настройки!$B$8=""),"",IF(N480&gt;Настройки!$B$8,1,""))</f>
        <v/>
      </c>
    </row>
    <row r="481">
      <c r="A481" s="9" t="n"/>
      <c r="B481" s="12">
        <f>IF(A481="","",IFERROR(INDEX(Брони!$C$2:$C$500,MATCH(A481,Брони!$A$2:$A$500,0)),""))</f>
        <v/>
      </c>
      <c r="C481" s="12">
        <f>IF(A481="","",IFERROR(INDEX(Брони!$B$2:$B$500,MATCH(A481,Брони!$A$2:$A$500,0)),""))</f>
        <v/>
      </c>
      <c r="D481" s="14" t="n"/>
      <c r="E481" s="10" t="n"/>
      <c r="F481" s="18" t="n"/>
      <c r="G481" s="18" t="n"/>
      <c r="H481" s="14" t="n"/>
      <c r="I481" s="14" t="n"/>
      <c r="J481" s="10" t="n"/>
      <c r="K481" s="15">
        <f>IF(OR(A481="",D481=""),"",D481-H481-I481)</f>
        <v/>
      </c>
      <c r="L481" s="12">
        <f>IF(K481="","",IF(K481&gt;0,"На руках",IF(I481&gt;0,IF(H481&gt;0,"Удержан частично","Удержан"),"Возвращён")))</f>
        <v/>
      </c>
      <c r="M481" s="10" t="n"/>
      <c r="N481" s="19">
        <f>IF(K481="","",IF(K481&gt;0,IFERROR(IF(INDEX(Брони!$F$2:$F$500,MATCH(A481,Брони!$A$2:$A$500,0))="Возвращена",TODAY()-INT(INDEX(Брони!$E$2:$E$500,MATCH(A481,Брони!$A$2:$A$500,0))),""),""),""))</f>
        <v/>
      </c>
      <c r="O481" s="19">
        <f>IF(OR(N481="",Настройки!$B$8=""),"",IF(N481&gt;Настройки!$B$8,1,""))</f>
        <v/>
      </c>
    </row>
    <row r="482">
      <c r="A482" s="9" t="n"/>
      <c r="B482" s="12">
        <f>IF(A482="","",IFERROR(INDEX(Брони!$C$2:$C$500,MATCH(A482,Брони!$A$2:$A$500,0)),""))</f>
        <v/>
      </c>
      <c r="C482" s="12">
        <f>IF(A482="","",IFERROR(INDEX(Брони!$B$2:$B$500,MATCH(A482,Брони!$A$2:$A$500,0)),""))</f>
        <v/>
      </c>
      <c r="D482" s="14" t="n"/>
      <c r="E482" s="10" t="n"/>
      <c r="F482" s="18" t="n"/>
      <c r="G482" s="18" t="n"/>
      <c r="H482" s="14" t="n"/>
      <c r="I482" s="14" t="n"/>
      <c r="J482" s="10" t="n"/>
      <c r="K482" s="15">
        <f>IF(OR(A482="",D482=""),"",D482-H482-I482)</f>
        <v/>
      </c>
      <c r="L482" s="12">
        <f>IF(K482="","",IF(K482&gt;0,"На руках",IF(I482&gt;0,IF(H482&gt;0,"Удержан частично","Удержан"),"Возвращён")))</f>
        <v/>
      </c>
      <c r="M482" s="10" t="n"/>
      <c r="N482" s="19">
        <f>IF(K482="","",IF(K482&gt;0,IFERROR(IF(INDEX(Брони!$F$2:$F$500,MATCH(A482,Брони!$A$2:$A$500,0))="Возвращена",TODAY()-INT(INDEX(Брони!$E$2:$E$500,MATCH(A482,Брони!$A$2:$A$500,0))),""),""),""))</f>
        <v/>
      </c>
      <c r="O482" s="19">
        <f>IF(OR(N482="",Настройки!$B$8=""),"",IF(N482&gt;Настройки!$B$8,1,""))</f>
        <v/>
      </c>
    </row>
    <row r="483">
      <c r="A483" s="9" t="n"/>
      <c r="B483" s="12">
        <f>IF(A483="","",IFERROR(INDEX(Брони!$C$2:$C$500,MATCH(A483,Брони!$A$2:$A$500,0)),""))</f>
        <v/>
      </c>
      <c r="C483" s="12">
        <f>IF(A483="","",IFERROR(INDEX(Брони!$B$2:$B$500,MATCH(A483,Брони!$A$2:$A$500,0)),""))</f>
        <v/>
      </c>
      <c r="D483" s="14" t="n"/>
      <c r="E483" s="10" t="n"/>
      <c r="F483" s="18" t="n"/>
      <c r="G483" s="18" t="n"/>
      <c r="H483" s="14" t="n"/>
      <c r="I483" s="14" t="n"/>
      <c r="J483" s="10" t="n"/>
      <c r="K483" s="15">
        <f>IF(OR(A483="",D483=""),"",D483-H483-I483)</f>
        <v/>
      </c>
      <c r="L483" s="12">
        <f>IF(K483="","",IF(K483&gt;0,"На руках",IF(I483&gt;0,IF(H483&gt;0,"Удержан частично","Удержан"),"Возвращён")))</f>
        <v/>
      </c>
      <c r="M483" s="10" t="n"/>
      <c r="N483" s="19">
        <f>IF(K483="","",IF(K483&gt;0,IFERROR(IF(INDEX(Брони!$F$2:$F$500,MATCH(A483,Брони!$A$2:$A$500,0))="Возвращена",TODAY()-INT(INDEX(Брони!$E$2:$E$500,MATCH(A483,Брони!$A$2:$A$500,0))),""),""),""))</f>
        <v/>
      </c>
      <c r="O483" s="19">
        <f>IF(OR(N483="",Настройки!$B$8=""),"",IF(N483&gt;Настройки!$B$8,1,""))</f>
        <v/>
      </c>
    </row>
    <row r="484">
      <c r="A484" s="9" t="n"/>
      <c r="B484" s="12">
        <f>IF(A484="","",IFERROR(INDEX(Брони!$C$2:$C$500,MATCH(A484,Брони!$A$2:$A$500,0)),""))</f>
        <v/>
      </c>
      <c r="C484" s="12">
        <f>IF(A484="","",IFERROR(INDEX(Брони!$B$2:$B$500,MATCH(A484,Брони!$A$2:$A$500,0)),""))</f>
        <v/>
      </c>
      <c r="D484" s="14" t="n"/>
      <c r="E484" s="10" t="n"/>
      <c r="F484" s="18" t="n"/>
      <c r="G484" s="18" t="n"/>
      <c r="H484" s="14" t="n"/>
      <c r="I484" s="14" t="n"/>
      <c r="J484" s="10" t="n"/>
      <c r="K484" s="15">
        <f>IF(OR(A484="",D484=""),"",D484-H484-I484)</f>
        <v/>
      </c>
      <c r="L484" s="12">
        <f>IF(K484="","",IF(K484&gt;0,"На руках",IF(I484&gt;0,IF(H484&gt;0,"Удержан частично","Удержан"),"Возвращён")))</f>
        <v/>
      </c>
      <c r="M484" s="10" t="n"/>
      <c r="N484" s="19">
        <f>IF(K484="","",IF(K484&gt;0,IFERROR(IF(INDEX(Брони!$F$2:$F$500,MATCH(A484,Брони!$A$2:$A$500,0))="Возвращена",TODAY()-INT(INDEX(Брони!$E$2:$E$500,MATCH(A484,Брони!$A$2:$A$500,0))),""),""),""))</f>
        <v/>
      </c>
      <c r="O484" s="19">
        <f>IF(OR(N484="",Настройки!$B$8=""),"",IF(N484&gt;Настройки!$B$8,1,""))</f>
        <v/>
      </c>
    </row>
    <row r="485">
      <c r="A485" s="9" t="n"/>
      <c r="B485" s="12">
        <f>IF(A485="","",IFERROR(INDEX(Брони!$C$2:$C$500,MATCH(A485,Брони!$A$2:$A$500,0)),""))</f>
        <v/>
      </c>
      <c r="C485" s="12">
        <f>IF(A485="","",IFERROR(INDEX(Брони!$B$2:$B$500,MATCH(A485,Брони!$A$2:$A$500,0)),""))</f>
        <v/>
      </c>
      <c r="D485" s="14" t="n"/>
      <c r="E485" s="10" t="n"/>
      <c r="F485" s="18" t="n"/>
      <c r="G485" s="18" t="n"/>
      <c r="H485" s="14" t="n"/>
      <c r="I485" s="14" t="n"/>
      <c r="J485" s="10" t="n"/>
      <c r="K485" s="15">
        <f>IF(OR(A485="",D485=""),"",D485-H485-I485)</f>
        <v/>
      </c>
      <c r="L485" s="12">
        <f>IF(K485="","",IF(K485&gt;0,"На руках",IF(I485&gt;0,IF(H485&gt;0,"Удержан частично","Удержан"),"Возвращён")))</f>
        <v/>
      </c>
      <c r="M485" s="10" t="n"/>
      <c r="N485" s="19">
        <f>IF(K485="","",IF(K485&gt;0,IFERROR(IF(INDEX(Брони!$F$2:$F$500,MATCH(A485,Брони!$A$2:$A$500,0))="Возвращена",TODAY()-INT(INDEX(Брони!$E$2:$E$500,MATCH(A485,Брони!$A$2:$A$500,0))),""),""),""))</f>
        <v/>
      </c>
      <c r="O485" s="19">
        <f>IF(OR(N485="",Настройки!$B$8=""),"",IF(N485&gt;Настройки!$B$8,1,""))</f>
        <v/>
      </c>
    </row>
    <row r="486">
      <c r="A486" s="9" t="n"/>
      <c r="B486" s="12">
        <f>IF(A486="","",IFERROR(INDEX(Брони!$C$2:$C$500,MATCH(A486,Брони!$A$2:$A$500,0)),""))</f>
        <v/>
      </c>
      <c r="C486" s="12">
        <f>IF(A486="","",IFERROR(INDEX(Брони!$B$2:$B$500,MATCH(A486,Брони!$A$2:$A$500,0)),""))</f>
        <v/>
      </c>
      <c r="D486" s="14" t="n"/>
      <c r="E486" s="10" t="n"/>
      <c r="F486" s="18" t="n"/>
      <c r="G486" s="18" t="n"/>
      <c r="H486" s="14" t="n"/>
      <c r="I486" s="14" t="n"/>
      <c r="J486" s="10" t="n"/>
      <c r="K486" s="15">
        <f>IF(OR(A486="",D486=""),"",D486-H486-I486)</f>
        <v/>
      </c>
      <c r="L486" s="12">
        <f>IF(K486="","",IF(K486&gt;0,"На руках",IF(I486&gt;0,IF(H486&gt;0,"Удержан частично","Удержан"),"Возвращён")))</f>
        <v/>
      </c>
      <c r="M486" s="10" t="n"/>
      <c r="N486" s="19">
        <f>IF(K486="","",IF(K486&gt;0,IFERROR(IF(INDEX(Брони!$F$2:$F$500,MATCH(A486,Брони!$A$2:$A$500,0))="Возвращена",TODAY()-INT(INDEX(Брони!$E$2:$E$500,MATCH(A486,Брони!$A$2:$A$500,0))),""),""),""))</f>
        <v/>
      </c>
      <c r="O486" s="19">
        <f>IF(OR(N486="",Настройки!$B$8=""),"",IF(N486&gt;Настройки!$B$8,1,""))</f>
        <v/>
      </c>
    </row>
    <row r="487">
      <c r="A487" s="9" t="n"/>
      <c r="B487" s="12">
        <f>IF(A487="","",IFERROR(INDEX(Брони!$C$2:$C$500,MATCH(A487,Брони!$A$2:$A$500,0)),""))</f>
        <v/>
      </c>
      <c r="C487" s="12">
        <f>IF(A487="","",IFERROR(INDEX(Брони!$B$2:$B$500,MATCH(A487,Брони!$A$2:$A$500,0)),""))</f>
        <v/>
      </c>
      <c r="D487" s="14" t="n"/>
      <c r="E487" s="10" t="n"/>
      <c r="F487" s="18" t="n"/>
      <c r="G487" s="18" t="n"/>
      <c r="H487" s="14" t="n"/>
      <c r="I487" s="14" t="n"/>
      <c r="J487" s="10" t="n"/>
      <c r="K487" s="15">
        <f>IF(OR(A487="",D487=""),"",D487-H487-I487)</f>
        <v/>
      </c>
      <c r="L487" s="12">
        <f>IF(K487="","",IF(K487&gt;0,"На руках",IF(I487&gt;0,IF(H487&gt;0,"Удержан частично","Удержан"),"Возвращён")))</f>
        <v/>
      </c>
      <c r="M487" s="10" t="n"/>
      <c r="N487" s="19">
        <f>IF(K487="","",IF(K487&gt;0,IFERROR(IF(INDEX(Брони!$F$2:$F$500,MATCH(A487,Брони!$A$2:$A$500,0))="Возвращена",TODAY()-INT(INDEX(Брони!$E$2:$E$500,MATCH(A487,Брони!$A$2:$A$500,0))),""),""),""))</f>
        <v/>
      </c>
      <c r="O487" s="19">
        <f>IF(OR(N487="",Настройки!$B$8=""),"",IF(N487&gt;Настройки!$B$8,1,""))</f>
        <v/>
      </c>
    </row>
    <row r="488">
      <c r="A488" s="9" t="n"/>
      <c r="B488" s="12">
        <f>IF(A488="","",IFERROR(INDEX(Брони!$C$2:$C$500,MATCH(A488,Брони!$A$2:$A$500,0)),""))</f>
        <v/>
      </c>
      <c r="C488" s="12">
        <f>IF(A488="","",IFERROR(INDEX(Брони!$B$2:$B$500,MATCH(A488,Брони!$A$2:$A$500,0)),""))</f>
        <v/>
      </c>
      <c r="D488" s="14" t="n"/>
      <c r="E488" s="10" t="n"/>
      <c r="F488" s="18" t="n"/>
      <c r="G488" s="18" t="n"/>
      <c r="H488" s="14" t="n"/>
      <c r="I488" s="14" t="n"/>
      <c r="J488" s="10" t="n"/>
      <c r="K488" s="15">
        <f>IF(OR(A488="",D488=""),"",D488-H488-I488)</f>
        <v/>
      </c>
      <c r="L488" s="12">
        <f>IF(K488="","",IF(K488&gt;0,"На руках",IF(I488&gt;0,IF(H488&gt;0,"Удержан частично","Удержан"),"Возвращён")))</f>
        <v/>
      </c>
      <c r="M488" s="10" t="n"/>
      <c r="N488" s="19">
        <f>IF(K488="","",IF(K488&gt;0,IFERROR(IF(INDEX(Брони!$F$2:$F$500,MATCH(A488,Брони!$A$2:$A$500,0))="Возвращена",TODAY()-INT(INDEX(Брони!$E$2:$E$500,MATCH(A488,Брони!$A$2:$A$500,0))),""),""),""))</f>
        <v/>
      </c>
      <c r="O488" s="19">
        <f>IF(OR(N488="",Настройки!$B$8=""),"",IF(N488&gt;Настройки!$B$8,1,""))</f>
        <v/>
      </c>
    </row>
    <row r="489">
      <c r="A489" s="9" t="n"/>
      <c r="B489" s="12">
        <f>IF(A489="","",IFERROR(INDEX(Брони!$C$2:$C$500,MATCH(A489,Брони!$A$2:$A$500,0)),""))</f>
        <v/>
      </c>
      <c r="C489" s="12">
        <f>IF(A489="","",IFERROR(INDEX(Брони!$B$2:$B$500,MATCH(A489,Брони!$A$2:$A$500,0)),""))</f>
        <v/>
      </c>
      <c r="D489" s="14" t="n"/>
      <c r="E489" s="10" t="n"/>
      <c r="F489" s="18" t="n"/>
      <c r="G489" s="18" t="n"/>
      <c r="H489" s="14" t="n"/>
      <c r="I489" s="14" t="n"/>
      <c r="J489" s="10" t="n"/>
      <c r="K489" s="15">
        <f>IF(OR(A489="",D489=""),"",D489-H489-I489)</f>
        <v/>
      </c>
      <c r="L489" s="12">
        <f>IF(K489="","",IF(K489&gt;0,"На руках",IF(I489&gt;0,IF(H489&gt;0,"Удержан частично","Удержан"),"Возвращён")))</f>
        <v/>
      </c>
      <c r="M489" s="10" t="n"/>
      <c r="N489" s="19">
        <f>IF(K489="","",IF(K489&gt;0,IFERROR(IF(INDEX(Брони!$F$2:$F$500,MATCH(A489,Брони!$A$2:$A$500,0))="Возвращена",TODAY()-INT(INDEX(Брони!$E$2:$E$500,MATCH(A489,Брони!$A$2:$A$500,0))),""),""),""))</f>
        <v/>
      </c>
      <c r="O489" s="19">
        <f>IF(OR(N489="",Настройки!$B$8=""),"",IF(N489&gt;Настройки!$B$8,1,""))</f>
        <v/>
      </c>
    </row>
    <row r="490">
      <c r="A490" s="9" t="n"/>
      <c r="B490" s="12">
        <f>IF(A490="","",IFERROR(INDEX(Брони!$C$2:$C$500,MATCH(A490,Брони!$A$2:$A$500,0)),""))</f>
        <v/>
      </c>
      <c r="C490" s="12">
        <f>IF(A490="","",IFERROR(INDEX(Брони!$B$2:$B$500,MATCH(A490,Брони!$A$2:$A$500,0)),""))</f>
        <v/>
      </c>
      <c r="D490" s="14" t="n"/>
      <c r="E490" s="10" t="n"/>
      <c r="F490" s="18" t="n"/>
      <c r="G490" s="18" t="n"/>
      <c r="H490" s="14" t="n"/>
      <c r="I490" s="14" t="n"/>
      <c r="J490" s="10" t="n"/>
      <c r="K490" s="15">
        <f>IF(OR(A490="",D490=""),"",D490-H490-I490)</f>
        <v/>
      </c>
      <c r="L490" s="12">
        <f>IF(K490="","",IF(K490&gt;0,"На руках",IF(I490&gt;0,IF(H490&gt;0,"Удержан частично","Удержан"),"Возвращён")))</f>
        <v/>
      </c>
      <c r="M490" s="10" t="n"/>
      <c r="N490" s="19">
        <f>IF(K490="","",IF(K490&gt;0,IFERROR(IF(INDEX(Брони!$F$2:$F$500,MATCH(A490,Брони!$A$2:$A$500,0))="Возвращена",TODAY()-INT(INDEX(Брони!$E$2:$E$500,MATCH(A490,Брони!$A$2:$A$500,0))),""),""),""))</f>
        <v/>
      </c>
      <c r="O490" s="19">
        <f>IF(OR(N490="",Настройки!$B$8=""),"",IF(N490&gt;Настройки!$B$8,1,""))</f>
        <v/>
      </c>
    </row>
    <row r="491">
      <c r="A491" s="9" t="n"/>
      <c r="B491" s="12">
        <f>IF(A491="","",IFERROR(INDEX(Брони!$C$2:$C$500,MATCH(A491,Брони!$A$2:$A$500,0)),""))</f>
        <v/>
      </c>
      <c r="C491" s="12">
        <f>IF(A491="","",IFERROR(INDEX(Брони!$B$2:$B$500,MATCH(A491,Брони!$A$2:$A$500,0)),""))</f>
        <v/>
      </c>
      <c r="D491" s="14" t="n"/>
      <c r="E491" s="10" t="n"/>
      <c r="F491" s="18" t="n"/>
      <c r="G491" s="18" t="n"/>
      <c r="H491" s="14" t="n"/>
      <c r="I491" s="14" t="n"/>
      <c r="J491" s="10" t="n"/>
      <c r="K491" s="15">
        <f>IF(OR(A491="",D491=""),"",D491-H491-I491)</f>
        <v/>
      </c>
      <c r="L491" s="12">
        <f>IF(K491="","",IF(K491&gt;0,"На руках",IF(I491&gt;0,IF(H491&gt;0,"Удержан частично","Удержан"),"Возвращён")))</f>
        <v/>
      </c>
      <c r="M491" s="10" t="n"/>
      <c r="N491" s="19">
        <f>IF(K491="","",IF(K491&gt;0,IFERROR(IF(INDEX(Брони!$F$2:$F$500,MATCH(A491,Брони!$A$2:$A$500,0))="Возвращена",TODAY()-INT(INDEX(Брони!$E$2:$E$500,MATCH(A491,Брони!$A$2:$A$500,0))),""),""),""))</f>
        <v/>
      </c>
      <c r="O491" s="19">
        <f>IF(OR(N491="",Настройки!$B$8=""),"",IF(N491&gt;Настройки!$B$8,1,""))</f>
        <v/>
      </c>
    </row>
    <row r="492">
      <c r="A492" s="9" t="n"/>
      <c r="B492" s="12">
        <f>IF(A492="","",IFERROR(INDEX(Брони!$C$2:$C$500,MATCH(A492,Брони!$A$2:$A$500,0)),""))</f>
        <v/>
      </c>
      <c r="C492" s="12">
        <f>IF(A492="","",IFERROR(INDEX(Брони!$B$2:$B$500,MATCH(A492,Брони!$A$2:$A$500,0)),""))</f>
        <v/>
      </c>
      <c r="D492" s="14" t="n"/>
      <c r="E492" s="10" t="n"/>
      <c r="F492" s="18" t="n"/>
      <c r="G492" s="18" t="n"/>
      <c r="H492" s="14" t="n"/>
      <c r="I492" s="14" t="n"/>
      <c r="J492" s="10" t="n"/>
      <c r="K492" s="15">
        <f>IF(OR(A492="",D492=""),"",D492-H492-I492)</f>
        <v/>
      </c>
      <c r="L492" s="12">
        <f>IF(K492="","",IF(K492&gt;0,"На руках",IF(I492&gt;0,IF(H492&gt;0,"Удержан частично","Удержан"),"Возвращён")))</f>
        <v/>
      </c>
      <c r="M492" s="10" t="n"/>
      <c r="N492" s="19">
        <f>IF(K492="","",IF(K492&gt;0,IFERROR(IF(INDEX(Брони!$F$2:$F$500,MATCH(A492,Брони!$A$2:$A$500,0))="Возвращена",TODAY()-INT(INDEX(Брони!$E$2:$E$500,MATCH(A492,Брони!$A$2:$A$500,0))),""),""),""))</f>
        <v/>
      </c>
      <c r="O492" s="19">
        <f>IF(OR(N492="",Настройки!$B$8=""),"",IF(N492&gt;Настройки!$B$8,1,""))</f>
        <v/>
      </c>
    </row>
    <row r="493">
      <c r="A493" s="9" t="n"/>
      <c r="B493" s="12">
        <f>IF(A493="","",IFERROR(INDEX(Брони!$C$2:$C$500,MATCH(A493,Брони!$A$2:$A$500,0)),""))</f>
        <v/>
      </c>
      <c r="C493" s="12">
        <f>IF(A493="","",IFERROR(INDEX(Брони!$B$2:$B$500,MATCH(A493,Брони!$A$2:$A$500,0)),""))</f>
        <v/>
      </c>
      <c r="D493" s="14" t="n"/>
      <c r="E493" s="10" t="n"/>
      <c r="F493" s="18" t="n"/>
      <c r="G493" s="18" t="n"/>
      <c r="H493" s="14" t="n"/>
      <c r="I493" s="14" t="n"/>
      <c r="J493" s="10" t="n"/>
      <c r="K493" s="15">
        <f>IF(OR(A493="",D493=""),"",D493-H493-I493)</f>
        <v/>
      </c>
      <c r="L493" s="12">
        <f>IF(K493="","",IF(K493&gt;0,"На руках",IF(I493&gt;0,IF(H493&gt;0,"Удержан частично","Удержан"),"Возвращён")))</f>
        <v/>
      </c>
      <c r="M493" s="10" t="n"/>
      <c r="N493" s="19">
        <f>IF(K493="","",IF(K493&gt;0,IFERROR(IF(INDEX(Брони!$F$2:$F$500,MATCH(A493,Брони!$A$2:$A$500,0))="Возвращена",TODAY()-INT(INDEX(Брони!$E$2:$E$500,MATCH(A493,Брони!$A$2:$A$500,0))),""),""),""))</f>
        <v/>
      </c>
      <c r="O493" s="19">
        <f>IF(OR(N493="",Настройки!$B$8=""),"",IF(N493&gt;Настройки!$B$8,1,""))</f>
        <v/>
      </c>
    </row>
    <row r="494">
      <c r="A494" s="9" t="n"/>
      <c r="B494" s="12">
        <f>IF(A494="","",IFERROR(INDEX(Брони!$C$2:$C$500,MATCH(A494,Брони!$A$2:$A$500,0)),""))</f>
        <v/>
      </c>
      <c r="C494" s="12">
        <f>IF(A494="","",IFERROR(INDEX(Брони!$B$2:$B$500,MATCH(A494,Брони!$A$2:$A$500,0)),""))</f>
        <v/>
      </c>
      <c r="D494" s="14" t="n"/>
      <c r="E494" s="10" t="n"/>
      <c r="F494" s="18" t="n"/>
      <c r="G494" s="18" t="n"/>
      <c r="H494" s="14" t="n"/>
      <c r="I494" s="14" t="n"/>
      <c r="J494" s="10" t="n"/>
      <c r="K494" s="15">
        <f>IF(OR(A494="",D494=""),"",D494-H494-I494)</f>
        <v/>
      </c>
      <c r="L494" s="12">
        <f>IF(K494="","",IF(K494&gt;0,"На руках",IF(I494&gt;0,IF(H494&gt;0,"Удержан частично","Удержан"),"Возвращён")))</f>
        <v/>
      </c>
      <c r="M494" s="10" t="n"/>
      <c r="N494" s="19">
        <f>IF(K494="","",IF(K494&gt;0,IFERROR(IF(INDEX(Брони!$F$2:$F$500,MATCH(A494,Брони!$A$2:$A$500,0))="Возвращена",TODAY()-INT(INDEX(Брони!$E$2:$E$500,MATCH(A494,Брони!$A$2:$A$500,0))),""),""),""))</f>
        <v/>
      </c>
      <c r="O494" s="19">
        <f>IF(OR(N494="",Настройки!$B$8=""),"",IF(N494&gt;Настройки!$B$8,1,""))</f>
        <v/>
      </c>
    </row>
    <row r="495">
      <c r="A495" s="9" t="n"/>
      <c r="B495" s="12">
        <f>IF(A495="","",IFERROR(INDEX(Брони!$C$2:$C$500,MATCH(A495,Брони!$A$2:$A$500,0)),""))</f>
        <v/>
      </c>
      <c r="C495" s="12">
        <f>IF(A495="","",IFERROR(INDEX(Брони!$B$2:$B$500,MATCH(A495,Брони!$A$2:$A$500,0)),""))</f>
        <v/>
      </c>
      <c r="D495" s="14" t="n"/>
      <c r="E495" s="10" t="n"/>
      <c r="F495" s="18" t="n"/>
      <c r="G495" s="18" t="n"/>
      <c r="H495" s="14" t="n"/>
      <c r="I495" s="14" t="n"/>
      <c r="J495" s="10" t="n"/>
      <c r="K495" s="15">
        <f>IF(OR(A495="",D495=""),"",D495-H495-I495)</f>
        <v/>
      </c>
      <c r="L495" s="12">
        <f>IF(K495="","",IF(K495&gt;0,"На руках",IF(I495&gt;0,IF(H495&gt;0,"Удержан частично","Удержан"),"Возвращён")))</f>
        <v/>
      </c>
      <c r="M495" s="10" t="n"/>
      <c r="N495" s="19">
        <f>IF(K495="","",IF(K495&gt;0,IFERROR(IF(INDEX(Брони!$F$2:$F$500,MATCH(A495,Брони!$A$2:$A$500,0))="Возвращена",TODAY()-INT(INDEX(Брони!$E$2:$E$500,MATCH(A495,Брони!$A$2:$A$500,0))),""),""),""))</f>
        <v/>
      </c>
      <c r="O495" s="19">
        <f>IF(OR(N495="",Настройки!$B$8=""),"",IF(N495&gt;Настройки!$B$8,1,""))</f>
        <v/>
      </c>
    </row>
    <row r="496">
      <c r="A496" s="9" t="n"/>
      <c r="B496" s="12">
        <f>IF(A496="","",IFERROR(INDEX(Брони!$C$2:$C$500,MATCH(A496,Брони!$A$2:$A$500,0)),""))</f>
        <v/>
      </c>
      <c r="C496" s="12">
        <f>IF(A496="","",IFERROR(INDEX(Брони!$B$2:$B$500,MATCH(A496,Брони!$A$2:$A$500,0)),""))</f>
        <v/>
      </c>
      <c r="D496" s="14" t="n"/>
      <c r="E496" s="10" t="n"/>
      <c r="F496" s="18" t="n"/>
      <c r="G496" s="18" t="n"/>
      <c r="H496" s="14" t="n"/>
      <c r="I496" s="14" t="n"/>
      <c r="J496" s="10" t="n"/>
      <c r="K496" s="15">
        <f>IF(OR(A496="",D496=""),"",D496-H496-I496)</f>
        <v/>
      </c>
      <c r="L496" s="12">
        <f>IF(K496="","",IF(K496&gt;0,"На руках",IF(I496&gt;0,IF(H496&gt;0,"Удержан частично","Удержан"),"Возвращён")))</f>
        <v/>
      </c>
      <c r="M496" s="10" t="n"/>
      <c r="N496" s="19">
        <f>IF(K496="","",IF(K496&gt;0,IFERROR(IF(INDEX(Брони!$F$2:$F$500,MATCH(A496,Брони!$A$2:$A$500,0))="Возвращена",TODAY()-INT(INDEX(Брони!$E$2:$E$500,MATCH(A496,Брони!$A$2:$A$500,0))),""),""),""))</f>
        <v/>
      </c>
      <c r="O496" s="19">
        <f>IF(OR(N496="",Настройки!$B$8=""),"",IF(N496&gt;Настройки!$B$8,1,""))</f>
        <v/>
      </c>
    </row>
    <row r="497">
      <c r="A497" s="9" t="n"/>
      <c r="B497" s="12">
        <f>IF(A497="","",IFERROR(INDEX(Брони!$C$2:$C$500,MATCH(A497,Брони!$A$2:$A$500,0)),""))</f>
        <v/>
      </c>
      <c r="C497" s="12">
        <f>IF(A497="","",IFERROR(INDEX(Брони!$B$2:$B$500,MATCH(A497,Брони!$A$2:$A$500,0)),""))</f>
        <v/>
      </c>
      <c r="D497" s="14" t="n"/>
      <c r="E497" s="10" t="n"/>
      <c r="F497" s="18" t="n"/>
      <c r="G497" s="18" t="n"/>
      <c r="H497" s="14" t="n"/>
      <c r="I497" s="14" t="n"/>
      <c r="J497" s="10" t="n"/>
      <c r="K497" s="15">
        <f>IF(OR(A497="",D497=""),"",D497-H497-I497)</f>
        <v/>
      </c>
      <c r="L497" s="12">
        <f>IF(K497="","",IF(K497&gt;0,"На руках",IF(I497&gt;0,IF(H497&gt;0,"Удержан частично","Удержан"),"Возвращён")))</f>
        <v/>
      </c>
      <c r="M497" s="10" t="n"/>
      <c r="N497" s="19">
        <f>IF(K497="","",IF(K497&gt;0,IFERROR(IF(INDEX(Брони!$F$2:$F$500,MATCH(A497,Брони!$A$2:$A$500,0))="Возвращена",TODAY()-INT(INDEX(Брони!$E$2:$E$500,MATCH(A497,Брони!$A$2:$A$500,0))),""),""),""))</f>
        <v/>
      </c>
      <c r="O497" s="19">
        <f>IF(OR(N497="",Настройки!$B$8=""),"",IF(N497&gt;Настройки!$B$8,1,""))</f>
        <v/>
      </c>
    </row>
    <row r="498">
      <c r="A498" s="9" t="n"/>
      <c r="B498" s="12">
        <f>IF(A498="","",IFERROR(INDEX(Брони!$C$2:$C$500,MATCH(A498,Брони!$A$2:$A$500,0)),""))</f>
        <v/>
      </c>
      <c r="C498" s="12">
        <f>IF(A498="","",IFERROR(INDEX(Брони!$B$2:$B$500,MATCH(A498,Брони!$A$2:$A$500,0)),""))</f>
        <v/>
      </c>
      <c r="D498" s="14" t="n"/>
      <c r="E498" s="10" t="n"/>
      <c r="F498" s="18" t="n"/>
      <c r="G498" s="18" t="n"/>
      <c r="H498" s="14" t="n"/>
      <c r="I498" s="14" t="n"/>
      <c r="J498" s="10" t="n"/>
      <c r="K498" s="15">
        <f>IF(OR(A498="",D498=""),"",D498-H498-I498)</f>
        <v/>
      </c>
      <c r="L498" s="12">
        <f>IF(K498="","",IF(K498&gt;0,"На руках",IF(I498&gt;0,IF(H498&gt;0,"Удержан частично","Удержан"),"Возвращён")))</f>
        <v/>
      </c>
      <c r="M498" s="10" t="n"/>
      <c r="N498" s="19">
        <f>IF(K498="","",IF(K498&gt;0,IFERROR(IF(INDEX(Брони!$F$2:$F$500,MATCH(A498,Брони!$A$2:$A$500,0))="Возвращена",TODAY()-INT(INDEX(Брони!$E$2:$E$500,MATCH(A498,Брони!$A$2:$A$500,0))),""),""),""))</f>
        <v/>
      </c>
      <c r="O498" s="19">
        <f>IF(OR(N498="",Настройки!$B$8=""),"",IF(N498&gt;Настройки!$B$8,1,""))</f>
        <v/>
      </c>
    </row>
    <row r="499">
      <c r="A499" s="9" t="n"/>
      <c r="B499" s="12">
        <f>IF(A499="","",IFERROR(INDEX(Брони!$C$2:$C$500,MATCH(A499,Брони!$A$2:$A$500,0)),""))</f>
        <v/>
      </c>
      <c r="C499" s="12">
        <f>IF(A499="","",IFERROR(INDEX(Брони!$B$2:$B$500,MATCH(A499,Брони!$A$2:$A$500,0)),""))</f>
        <v/>
      </c>
      <c r="D499" s="14" t="n"/>
      <c r="E499" s="10" t="n"/>
      <c r="F499" s="18" t="n"/>
      <c r="G499" s="18" t="n"/>
      <c r="H499" s="14" t="n"/>
      <c r="I499" s="14" t="n"/>
      <c r="J499" s="10" t="n"/>
      <c r="K499" s="15">
        <f>IF(OR(A499="",D499=""),"",D499-H499-I499)</f>
        <v/>
      </c>
      <c r="L499" s="12">
        <f>IF(K499="","",IF(K499&gt;0,"На руках",IF(I499&gt;0,IF(H499&gt;0,"Удержан частично","Удержан"),"Возвращён")))</f>
        <v/>
      </c>
      <c r="M499" s="10" t="n"/>
      <c r="N499" s="19">
        <f>IF(K499="","",IF(K499&gt;0,IFERROR(IF(INDEX(Брони!$F$2:$F$500,MATCH(A499,Брони!$A$2:$A$500,0))="Возвращена",TODAY()-INT(INDEX(Брони!$E$2:$E$500,MATCH(A499,Брони!$A$2:$A$500,0))),""),""),""))</f>
        <v/>
      </c>
      <c r="O499" s="19">
        <f>IF(OR(N499="",Настройки!$B$8=""),"",IF(N499&gt;Настройки!$B$8,1,""))</f>
        <v/>
      </c>
    </row>
    <row r="500">
      <c r="A500" s="9" t="n"/>
      <c r="B500" s="12">
        <f>IF(A500="","",IFERROR(INDEX(Брони!$C$2:$C$500,MATCH(A500,Брони!$A$2:$A$500,0)),""))</f>
        <v/>
      </c>
      <c r="C500" s="12">
        <f>IF(A500="","",IFERROR(INDEX(Брони!$B$2:$B$500,MATCH(A500,Брони!$A$2:$A$500,0)),""))</f>
        <v/>
      </c>
      <c r="D500" s="14" t="n"/>
      <c r="E500" s="10" t="n"/>
      <c r="F500" s="18" t="n"/>
      <c r="G500" s="18" t="n"/>
      <c r="H500" s="14" t="n"/>
      <c r="I500" s="14" t="n"/>
      <c r="J500" s="10" t="n"/>
      <c r="K500" s="15">
        <f>IF(OR(A500="",D500=""),"",D500-H500-I500)</f>
        <v/>
      </c>
      <c r="L500" s="12">
        <f>IF(K500="","",IF(K500&gt;0,"На руках",IF(I500&gt;0,IF(H500&gt;0,"Удержан частично","Удержан"),"Возвращён")))</f>
        <v/>
      </c>
      <c r="M500" s="10" t="n"/>
      <c r="N500" s="19">
        <f>IF(K500="","",IF(K500&gt;0,IFERROR(IF(INDEX(Брони!$F$2:$F$500,MATCH(A500,Брони!$A$2:$A$500,0))="Возвращена",TODAY()-INT(INDEX(Брони!$E$2:$E$500,MATCH(A500,Брони!$A$2:$A$500,0))),""),""),""))</f>
        <v/>
      </c>
      <c r="O500" s="19">
        <f>IF(OR(N500="",Настройки!$B$8=""),"",IF(N500&gt;Настройки!$B$8,1,""))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O500"/>
  <conditionalFormatting sqref="A2:M500">
    <cfRule type="expression" priority="1" dxfId="3">
      <formula>$O2=1</formula>
    </cfRule>
    <cfRule type="expression" priority="2" dxfId="2">
      <formula>$M2="пример"</formula>
    </cfRule>
  </conditionalFormatting>
  <dataValidations count="4">
    <dataValidation sqref="A2:A500" showDropDown="0" showInputMessage="0" showErrorMessage="1" allowBlank="1" errorTitle="Проверьте значение" error="Введите целое число" type="whole" operator="greaterThan">
      <formula1>0</formula1>
    </dataValidation>
    <dataValidation sqref="D2:D500 H2:I500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  <dataValidation sqref="E2:E500" showDropDown="0" showInputMessage="0" showErrorMessage="1" allowBlank="1" errorTitle="Проверьте значение" error="Выберите значение из списка" type="list">
      <formula1>Настройки!$K$2:$K$5</formula1>
    </dataValidation>
    <dataValidation sqref="F2:G500" showDropDown="0" showInputMessage="0" showErrorMessage="1" allowBlank="1" errorTitle="Проверьте значение" error="Введите дату, например 2026-10-12" type="custom">
      <formula1>ISNUMBER(F2)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7" customWidth="1" min="3" max="3"/>
    <col width="3" customWidth="1" min="4" max="4"/>
    <col width="13" customWidth="1" min="5" max="5"/>
    <col width="16" customWidth="1" min="6" max="6"/>
    <col width="12" customWidth="1" min="7" max="7"/>
    <col width="18" customWidth="1" min="8" max="8"/>
  </cols>
  <sheetData>
    <row r="1" ht="32" customHeight="1">
      <c r="A1" s="22" t="inlineStr">
        <is>
          <t>Месяц сводки: введите любую его дату; пусто — текущий месяц</t>
        </is>
      </c>
      <c r="B1" s="23" t="n"/>
      <c r="E1" s="7" t="inlineStr">
        <is>
          <t>Машина</t>
        </is>
      </c>
      <c r="F1" s="7" t="inlineStr">
        <is>
          <t>Дней под бронью или в аренде</t>
        </is>
      </c>
      <c r="G1" s="7" t="inlineStr">
        <is>
          <t>Загрузка</t>
        </is>
      </c>
      <c r="H1" s="7" t="inlineStr">
        <is>
          <t>Сумма аренды, выдача в месяце</t>
        </is>
      </c>
    </row>
    <row r="2">
      <c r="A2" s="22" t="inlineStr">
        <is>
          <t>Показан месяц, первое число</t>
        </is>
      </c>
      <c r="B2" s="24">
        <f>IF(ISNUMBER(B1),DATE(YEAR(B1),MONTH(B1),1),DATE(YEAR(TODAY()),MONTH(TODAY()),1))</f>
        <v/>
      </c>
      <c r="E2" s="12">
        <f>IF(Парк!$A2="","",Парк!$A2)</f>
        <v/>
      </c>
      <c r="F2" s="25">
        <f>IF(E2="","",SUMIFS(Брони!$U$2:$U$500,Брони!$B$2:$B$500,E2))</f>
        <v/>
      </c>
      <c r="G2" s="26">
        <f>IF(E2="","",MIN(1,F2/$B$3))</f>
        <v/>
      </c>
      <c r="H2" s="15">
        <f>IF(E2="","",SUMIFS(Брони!$K$2:$K$500,Брони!$B$2:$B$500,E2,Брони!$D$2:$D$500,"&gt;="&amp;$B$2,Брони!$D$2:$D$500,"&lt;"&amp;$B$4))</f>
        <v/>
      </c>
    </row>
    <row r="3">
      <c r="A3" s="22" t="inlineStr">
        <is>
          <t>Дней в месяце</t>
        </is>
      </c>
      <c r="B3" s="27">
        <f>B4-B2</f>
        <v/>
      </c>
      <c r="E3" s="12">
        <f>IF(Парк!$A3="","",Парк!$A3)</f>
        <v/>
      </c>
      <c r="F3" s="25">
        <f>IF(E3="","",SUMIFS(Брони!$U$2:$U$500,Брони!$B$2:$B$500,E3))</f>
        <v/>
      </c>
      <c r="G3" s="26">
        <f>IF(E3="","",MIN(1,F3/$B$3))</f>
        <v/>
      </c>
      <c r="H3" s="15">
        <f>IF(E3="","",SUMIFS(Брони!$K$2:$K$500,Брони!$B$2:$B$500,E3,Брони!$D$2:$D$500,"&gt;="&amp;$B$2,Брони!$D$2:$D$500,"&lt;"&amp;$B$4))</f>
        <v/>
      </c>
    </row>
    <row r="4">
      <c r="A4" s="22" t="inlineStr">
        <is>
          <t>Начало следующего месяца</t>
        </is>
      </c>
      <c r="B4" s="24">
        <f>DATE(YEAR(B2),MONTH(B2)+1,1)</f>
        <v/>
      </c>
      <c r="E4" s="12">
        <f>IF(Парк!$A4="","",Парк!$A4)</f>
        <v/>
      </c>
      <c r="F4" s="25">
        <f>IF(E4="","",SUMIFS(Брони!$U$2:$U$500,Брони!$B$2:$B$500,E4))</f>
        <v/>
      </c>
      <c r="G4" s="26">
        <f>IF(E4="","",MIN(1,F4/$B$3))</f>
        <v/>
      </c>
      <c r="H4" s="15">
        <f>IF(E4="","",SUMIFS(Брони!$K$2:$K$500,Брони!$B$2:$B$500,E4,Брони!$D$2:$D$500,"&gt;="&amp;$B$2,Брони!$D$2:$D$500,"&lt;"&amp;$B$4))</f>
        <v/>
      </c>
    </row>
    <row r="5">
      <c r="E5" s="12">
        <f>IF(Парк!$A5="","",Парк!$A5)</f>
        <v/>
      </c>
      <c r="F5" s="25">
        <f>IF(E5="","",SUMIFS(Брони!$U$2:$U$500,Брони!$B$2:$B$500,E5))</f>
        <v/>
      </c>
      <c r="G5" s="26">
        <f>IF(E5="","",MIN(1,F5/$B$3))</f>
        <v/>
      </c>
      <c r="H5" s="15">
        <f>IF(E5="","",SUMIFS(Брони!$K$2:$K$500,Брони!$B$2:$B$500,E5,Брони!$D$2:$D$500,"&gt;="&amp;$B$2,Брони!$D$2:$D$500,"&lt;"&amp;$B$4))</f>
        <v/>
      </c>
    </row>
    <row r="6">
      <c r="A6" s="7" t="inlineStr">
        <is>
          <t>Деньги</t>
        </is>
      </c>
      <c r="B6" s="28" t="n"/>
      <c r="C6" s="28" t="n"/>
      <c r="E6" s="12">
        <f>IF(Парк!$A6="","",Парк!$A6)</f>
        <v/>
      </c>
      <c r="F6" s="25">
        <f>IF(E6="","",SUMIFS(Брони!$U$2:$U$500,Брони!$B$2:$B$500,E6))</f>
        <v/>
      </c>
      <c r="G6" s="26">
        <f>IF(E6="","",MIN(1,F6/$B$3))</f>
        <v/>
      </c>
      <c r="H6" s="15">
        <f>IF(E6="","",SUMIFS(Брони!$K$2:$K$500,Брони!$B$2:$B$500,E6,Брони!$D$2:$D$500,"&gt;="&amp;$B$2,Брони!$D$2:$D$500,"&lt;"&amp;$B$4))</f>
        <v/>
      </c>
    </row>
    <row r="7">
      <c r="A7" s="22" t="inlineStr">
        <is>
          <t>Выручка месяца</t>
        </is>
      </c>
      <c r="B7" s="29">
        <f>SUMIFS(Брони!$K$2:$K$500,Брони!$D$2:$D$500,"&gt;="&amp;$B$2,Брони!$D$2:$D$500,"&lt;"&amp;$B$4)</f>
        <v/>
      </c>
      <c r="C7" s="30">
        <f>IF(Настройки!$B$3="","",Настройки!$B$3)</f>
        <v/>
      </c>
      <c r="E7" s="12">
        <f>IF(Парк!$A7="","",Парк!$A7)</f>
        <v/>
      </c>
      <c r="F7" s="25">
        <f>IF(E7="","",SUMIFS(Брони!$U$2:$U$500,Брони!$B$2:$B$500,E7))</f>
        <v/>
      </c>
      <c r="G7" s="26">
        <f>IF(E7="","",MIN(1,F7/$B$3))</f>
        <v/>
      </c>
      <c r="H7" s="15">
        <f>IF(E7="","",SUMIFS(Брони!$K$2:$K$500,Брони!$B$2:$B$500,E7,Брони!$D$2:$D$500,"&gt;="&amp;$B$2,Брони!$D$2:$D$500,"&lt;"&amp;$B$4))</f>
        <v/>
      </c>
    </row>
    <row r="8">
      <c r="A8" s="22" t="inlineStr">
        <is>
          <t>Остатки: сколько ещё должны клиенты по всем броням</t>
        </is>
      </c>
      <c r="B8" s="29">
        <f>SUMIF(Брони!$P$2:$P$500,"&gt;0")</f>
        <v/>
      </c>
      <c r="C8" s="30">
        <f>IF(Настройки!$B$3="","",Настройки!$B$3)</f>
        <v/>
      </c>
      <c r="E8" s="12">
        <f>IF(Парк!$A8="","",Парк!$A8)</f>
        <v/>
      </c>
      <c r="F8" s="25">
        <f>IF(E8="","",SUMIFS(Брони!$U$2:$U$500,Брони!$B$2:$B$500,E8))</f>
        <v/>
      </c>
      <c r="G8" s="26">
        <f>IF(E8="","",MIN(1,F8/$B$3))</f>
        <v/>
      </c>
      <c r="H8" s="15">
        <f>IF(E8="","",SUMIFS(Брони!$K$2:$K$500,Брони!$B$2:$B$500,E8,Брони!$D$2:$D$500,"&gt;="&amp;$B$2,Брони!$D$2:$D$500,"&lt;"&amp;$B$4))</f>
        <v/>
      </c>
    </row>
    <row r="9">
      <c r="A9" s="22" t="inlineStr">
        <is>
          <t>Залоги на руках</t>
        </is>
      </c>
      <c r="B9" s="29">
        <f>SUM(Залоги!$K$2:$K$500)</f>
        <v/>
      </c>
      <c r="C9" s="30">
        <f>IF(Настройки!$B$3="","",Настройки!$B$3)</f>
        <v/>
      </c>
      <c r="E9" s="12">
        <f>IF(Парк!$A9="","",Парк!$A9)</f>
        <v/>
      </c>
      <c r="F9" s="25">
        <f>IF(E9="","",SUMIFS(Брони!$U$2:$U$500,Брони!$B$2:$B$500,E9))</f>
        <v/>
      </c>
      <c r="G9" s="26">
        <f>IF(E9="","",MIN(1,F9/$B$3))</f>
        <v/>
      </c>
      <c r="H9" s="15">
        <f>IF(E9="","",SUMIFS(Брони!$K$2:$K$500,Брони!$B$2:$B$500,E9,Брони!$D$2:$D$500,"&gt;="&amp;$B$2,Брони!$D$2:$D$500,"&lt;"&amp;$B$4))</f>
        <v/>
      </c>
    </row>
    <row r="10">
      <c r="A10" s="22" t="inlineStr">
        <is>
          <t>Загрузка парка</t>
        </is>
      </c>
      <c r="B10" s="31">
        <f>IF(COUNT($G$2:$G$51)=0,"",SUM($G$2:$G$51)/COUNT($G$2:$G$51))</f>
        <v/>
      </c>
      <c r="E10" s="12">
        <f>IF(Парк!$A10="","",Парк!$A10)</f>
        <v/>
      </c>
      <c r="F10" s="25">
        <f>IF(E10="","",SUMIFS(Брони!$U$2:$U$500,Брони!$B$2:$B$500,E10))</f>
        <v/>
      </c>
      <c r="G10" s="26">
        <f>IF(E10="","",MIN(1,F10/$B$3))</f>
        <v/>
      </c>
      <c r="H10" s="15">
        <f>IF(E10="","",SUMIFS(Брони!$K$2:$K$500,Брони!$B$2:$B$500,E10,Брони!$D$2:$D$500,"&gt;="&amp;$B$2,Брони!$D$2:$D$500,"&lt;"&amp;$B$4))</f>
        <v/>
      </c>
    </row>
    <row r="11">
      <c r="E11" s="12">
        <f>IF(Парк!$A11="","",Парк!$A11)</f>
        <v/>
      </c>
      <c r="F11" s="25">
        <f>IF(E11="","",SUMIFS(Брони!$U$2:$U$500,Брони!$B$2:$B$500,E11))</f>
        <v/>
      </c>
      <c r="G11" s="26">
        <f>IF(E11="","",MIN(1,F11/$B$3))</f>
        <v/>
      </c>
      <c r="H11" s="15">
        <f>IF(E11="","",SUMIFS(Брони!$K$2:$K$500,Брони!$B$2:$B$500,E11,Брони!$D$2:$D$500,"&gt;="&amp;$B$2,Брони!$D$2:$D$500,"&lt;"&amp;$B$4))</f>
        <v/>
      </c>
    </row>
    <row r="12">
      <c r="A12" s="7" t="inlineStr">
        <is>
          <t>Требует внимания</t>
        </is>
      </c>
      <c r="B12" s="28" t="n"/>
      <c r="C12" s="28" t="n"/>
      <c r="E12" s="12">
        <f>IF(Парк!$A12="","",Парк!$A12)</f>
        <v/>
      </c>
      <c r="F12" s="25">
        <f>IF(E12="","",SUMIFS(Брони!$U$2:$U$500,Брони!$B$2:$B$500,E12))</f>
        <v/>
      </c>
      <c r="G12" s="26">
        <f>IF(E12="","",MIN(1,F12/$B$3))</f>
        <v/>
      </c>
      <c r="H12" s="15">
        <f>IF(E12="","",SUMIFS(Брони!$K$2:$K$500,Брони!$B$2:$B$500,E12,Брони!$D$2:$D$500,"&gt;="&amp;$B$2,Брони!$D$2:$D$500,"&lt;"&amp;$B$4))</f>
        <v/>
      </c>
    </row>
    <row r="13">
      <c r="A13" s="22" t="inlineStr">
        <is>
          <t>Строки броней с пометкой «Пересечение»</t>
        </is>
      </c>
      <c r="B13" s="27">
        <f>COUNTIF(Брони!$G$2:$G$500,"Пересечение")</f>
        <v/>
      </c>
      <c r="E13" s="12">
        <f>IF(Парк!$A13="","",Парк!$A13)</f>
        <v/>
      </c>
      <c r="F13" s="25">
        <f>IF(E13="","",SUMIFS(Брони!$U$2:$U$500,Брони!$B$2:$B$500,E13))</f>
        <v/>
      </c>
      <c r="G13" s="26">
        <f>IF(E13="","",MIN(1,F13/$B$3))</f>
        <v/>
      </c>
      <c r="H13" s="15">
        <f>IF(E13="","",SUMIFS(Брони!$K$2:$K$500,Брони!$B$2:$B$500,E13,Брони!$D$2:$D$500,"&gt;="&amp;$B$2,Брони!$D$2:$D$500,"&lt;"&amp;$B$4))</f>
        <v/>
      </c>
    </row>
    <row r="14">
      <c r="A14" s="22" t="inlineStr">
        <is>
          <t>Строки с пометкой «Проверьте даты» в «Бронях» и «Начислениях»</t>
        </is>
      </c>
      <c r="B14" s="27">
        <f>COUNTIF(Брони!$G$2:$G$500,"Проверьте даты")+COUNTIF(Начисления!$F$2:$F$1000,"Проверьте даты")</f>
        <v/>
      </c>
      <c r="E14" s="12">
        <f>IF(Парк!$A14="","",Парк!$A14)</f>
        <v/>
      </c>
      <c r="F14" s="25">
        <f>IF(E14="","",SUMIFS(Брони!$U$2:$U$500,Брони!$B$2:$B$500,E14))</f>
        <v/>
      </c>
      <c r="G14" s="26">
        <f>IF(E14="","",MIN(1,F14/$B$3))</f>
        <v/>
      </c>
      <c r="H14" s="15">
        <f>IF(E14="","",SUMIFS(Брони!$K$2:$K$500,Брони!$B$2:$B$500,E14,Брони!$D$2:$D$500,"&gt;="&amp;$B$2,Брони!$D$2:$D$500,"&lt;"&amp;$B$4))</f>
        <v/>
      </c>
    </row>
    <row r="15">
      <c r="A15" s="22" t="inlineStr">
        <is>
          <t>Дубли строк аренды</t>
        </is>
      </c>
      <c r="B15" s="27">
        <f>COUNTIF(Брони!$H$2:$H$500,"Дубль")</f>
        <v/>
      </c>
      <c r="E15" s="12">
        <f>IF(Парк!$A15="","",Парк!$A15)</f>
        <v/>
      </c>
      <c r="F15" s="25">
        <f>IF(E15="","",SUMIFS(Брони!$U$2:$U$500,Брони!$B$2:$B$500,E15))</f>
        <v/>
      </c>
      <c r="G15" s="26">
        <f>IF(E15="","",MIN(1,F15/$B$3))</f>
        <v/>
      </c>
      <c r="H15" s="15">
        <f>IF(E15="","",SUMIFS(Брони!$K$2:$K$500,Брони!$B$2:$B$500,E15,Брони!$D$2:$D$500,"&gt;="&amp;$B$2,Брони!$D$2:$D$500,"&lt;"&amp;$B$4))</f>
        <v/>
      </c>
    </row>
    <row r="16">
      <c r="A16" s="22" t="inlineStr">
        <is>
          <t>Начисления «Вне аренды»</t>
        </is>
      </c>
      <c r="B16" s="27">
        <f>COUNTIF(Начисления!$F$2:$F$1000,"Вне аренды")</f>
        <v/>
      </c>
      <c r="E16" s="12">
        <f>IF(Парк!$A16="","",Парк!$A16)</f>
        <v/>
      </c>
      <c r="F16" s="25">
        <f>IF(E16="","",SUMIFS(Брони!$U$2:$U$500,Брони!$B$2:$B$500,E16))</f>
        <v/>
      </c>
      <c r="G16" s="26">
        <f>IF(E16="","",MIN(1,F16/$B$3))</f>
        <v/>
      </c>
      <c r="H16" s="15">
        <f>IF(E16="","",SUMIFS(Брони!$K$2:$K$500,Брони!$B$2:$B$500,E16,Брони!$D$2:$D$500,"&gt;="&amp;$B$2,Брони!$D$2:$D$500,"&lt;"&amp;$B$4))</f>
        <v/>
      </c>
    </row>
    <row r="17">
      <c r="A17" s="22" t="inlineStr">
        <is>
          <t>Начисления на дубль аренды</t>
        </is>
      </c>
      <c r="B17" s="27">
        <f>COUNTIF(Начисления!$F$2:$F$1000,"Дубль")</f>
        <v/>
      </c>
      <c r="E17" s="12">
        <f>IF(Парк!$A17="","",Парк!$A17)</f>
        <v/>
      </c>
      <c r="F17" s="25">
        <f>IF(E17="","",SUMIFS(Брони!$U$2:$U$500,Брони!$B$2:$B$500,E17))</f>
        <v/>
      </c>
      <c r="G17" s="26">
        <f>IF(E17="","",MIN(1,F17/$B$3))</f>
        <v/>
      </c>
      <c r="H17" s="15">
        <f>IF(E17="","",SUMIFS(Брони!$K$2:$K$500,Брони!$B$2:$B$500,E17,Брони!$D$2:$D$500,"&gt;="&amp;$B$2,Брони!$D$2:$D$500,"&lt;"&amp;$B$4))</f>
        <v/>
      </c>
    </row>
    <row r="18">
      <c r="A18" s="22" t="inlineStr">
        <is>
          <t>Сроки по парку, которые прошли</t>
        </is>
      </c>
      <c r="B18" s="27">
        <f>SUMPRODUCT((Парк!$J$2:$L$51&lt;&gt;"")*(Парк!$J$2:$L$51&lt;TODAY()))</f>
        <v/>
      </c>
      <c r="E18" s="12">
        <f>IF(Парк!$A18="","",Парк!$A18)</f>
        <v/>
      </c>
      <c r="F18" s="25">
        <f>IF(E18="","",SUMIFS(Брони!$U$2:$U$500,Брони!$B$2:$B$500,E18))</f>
        <v/>
      </c>
      <c r="G18" s="26">
        <f>IF(E18="","",MIN(1,F18/$B$3))</f>
        <v/>
      </c>
      <c r="H18" s="15">
        <f>IF(E18="","",SUMIFS(Брони!$K$2:$K$500,Брони!$B$2:$B$500,E18,Брони!$D$2:$D$500,"&gt;="&amp;$B$2,Брони!$D$2:$D$500,"&lt;"&amp;$B$4))</f>
        <v/>
      </c>
    </row>
    <row r="19">
      <c r="A19" s="22" t="inlineStr">
        <is>
          <t>Сроки по парку, которые подходят</t>
        </is>
      </c>
      <c r="B19" s="27">
        <f>SUMPRODUCT((Парк!$J$2:$L$51&lt;&gt;"")*(Парк!$J$2:$L$51&gt;=TODAY())*(Парк!$J$2:$L$51&lt;=TODAY()+Настройки!$B$7))</f>
        <v/>
      </c>
      <c r="E19" s="12">
        <f>IF(Парк!$A19="","",Парк!$A19)</f>
        <v/>
      </c>
      <c r="F19" s="25">
        <f>IF(E19="","",SUMIFS(Брони!$U$2:$U$500,Брони!$B$2:$B$500,E19))</f>
        <v/>
      </c>
      <c r="G19" s="26">
        <f>IF(E19="","",MIN(1,F19/$B$3))</f>
        <v/>
      </c>
      <c r="H19" s="15">
        <f>IF(E19="","",SUMIFS(Брони!$K$2:$K$500,Брони!$B$2:$B$500,E19,Брони!$D$2:$D$500,"&gt;="&amp;$B$2,Брони!$D$2:$D$500,"&lt;"&amp;$B$4))</f>
        <v/>
      </c>
    </row>
    <row r="20">
      <c r="A20" s="22" t="inlineStr">
        <is>
          <t>Залоги на руках после возврата</t>
        </is>
      </c>
      <c r="B20" s="27">
        <f>COUNTIF(Залоги!$N$2:$N$500,"&gt;=0")</f>
        <v/>
      </c>
      <c r="E20" s="12">
        <f>IF(Парк!$A20="","",Парк!$A20)</f>
        <v/>
      </c>
      <c r="F20" s="25">
        <f>IF(E20="","",SUMIFS(Брони!$U$2:$U$500,Брони!$B$2:$B$500,E20))</f>
        <v/>
      </c>
      <c r="G20" s="26">
        <f>IF(E20="","",MIN(1,F20/$B$3))</f>
        <v/>
      </c>
      <c r="H20" s="15">
        <f>IF(E20="","",SUMIFS(Брони!$K$2:$K$500,Брони!$B$2:$B$500,E20,Брони!$D$2:$D$500,"&gt;="&amp;$B$2,Брони!$D$2:$D$500,"&lt;"&amp;$B$4))</f>
        <v/>
      </c>
    </row>
    <row r="21">
      <c r="E21" s="12">
        <f>IF(Парк!$A21="","",Парк!$A21)</f>
        <v/>
      </c>
      <c r="F21" s="25">
        <f>IF(E21="","",SUMIFS(Брони!$U$2:$U$500,Брони!$B$2:$B$500,E21))</f>
        <v/>
      </c>
      <c r="G21" s="26">
        <f>IF(E21="","",MIN(1,F21/$B$3))</f>
        <v/>
      </c>
      <c r="H21" s="15">
        <f>IF(E21="","",SUMIFS(Брони!$K$2:$K$500,Брони!$B$2:$B$500,E21,Брони!$D$2:$D$500,"&gt;="&amp;$B$2,Брони!$D$2:$D$500,"&lt;"&amp;$B$4))</f>
        <v/>
      </c>
    </row>
    <row r="22">
      <c r="A22" s="7" t="inlineStr">
        <is>
          <t>Выписка внесена по</t>
        </is>
      </c>
      <c r="B22" s="28" t="n"/>
      <c r="C22" s="28" t="n"/>
      <c r="E22" s="12">
        <f>IF(Парк!$A22="","",Парк!$A22)</f>
        <v/>
      </c>
      <c r="F22" s="25">
        <f>IF(E22="","",SUMIFS(Брони!$U$2:$U$500,Брони!$B$2:$B$500,E22))</f>
        <v/>
      </c>
      <c r="G22" s="26">
        <f>IF(E22="","",MIN(1,F22/$B$3))</f>
        <v/>
      </c>
      <c r="H22" s="15">
        <f>IF(E22="","",SUMIFS(Брони!$K$2:$K$500,Брони!$B$2:$B$500,E22,Брони!$D$2:$D$500,"&gt;="&amp;$B$2,Брони!$D$2:$D$500,"&lt;"&amp;$B$4))</f>
        <v/>
      </c>
    </row>
    <row r="23">
      <c r="A23">
        <f>IF(Настройки!$E$2="","",Настройки!$E$2)</f>
        <v/>
      </c>
      <c r="B23" s="24">
        <f>IF(Настройки!$F$2="","",Настройки!$F$2)</f>
        <v/>
      </c>
      <c r="E23" s="12">
        <f>IF(Парк!$A23="","",Парк!$A23)</f>
        <v/>
      </c>
      <c r="F23" s="25">
        <f>IF(E23="","",SUMIFS(Брони!$U$2:$U$500,Брони!$B$2:$B$500,E23))</f>
        <v/>
      </c>
      <c r="G23" s="26">
        <f>IF(E23="","",MIN(1,F23/$B$3))</f>
        <v/>
      </c>
      <c r="H23" s="15">
        <f>IF(E23="","",SUMIFS(Брони!$K$2:$K$500,Брони!$B$2:$B$500,E23,Брони!$D$2:$D$500,"&gt;="&amp;$B$2,Брони!$D$2:$D$500,"&lt;"&amp;$B$4))</f>
        <v/>
      </c>
    </row>
    <row r="24">
      <c r="A24">
        <f>IF(Настройки!$E$3="","",Настройки!$E$3)</f>
        <v/>
      </c>
      <c r="B24" s="24">
        <f>IF(Настройки!$F$3="","",Настройки!$F$3)</f>
        <v/>
      </c>
      <c r="E24" s="12">
        <f>IF(Парк!$A24="","",Парк!$A24)</f>
        <v/>
      </c>
      <c r="F24" s="25">
        <f>IF(E24="","",SUMIFS(Брони!$U$2:$U$500,Брони!$B$2:$B$500,E24))</f>
        <v/>
      </c>
      <c r="G24" s="26">
        <f>IF(E24="","",MIN(1,F24/$B$3))</f>
        <v/>
      </c>
      <c r="H24" s="15">
        <f>IF(E24="","",SUMIFS(Брони!$K$2:$K$500,Брони!$B$2:$B$500,E24,Брони!$D$2:$D$500,"&gt;="&amp;$B$2,Брони!$D$2:$D$500,"&lt;"&amp;$B$4))</f>
        <v/>
      </c>
    </row>
    <row r="25">
      <c r="A25">
        <f>IF(Настройки!$E$4="","",Настройки!$E$4)</f>
        <v/>
      </c>
      <c r="B25" s="24">
        <f>IF(Настройки!$F$4="","",Настройки!$F$4)</f>
        <v/>
      </c>
      <c r="E25" s="12">
        <f>IF(Парк!$A25="","",Парк!$A25)</f>
        <v/>
      </c>
      <c r="F25" s="25">
        <f>IF(E25="","",SUMIFS(Брони!$U$2:$U$500,Брони!$B$2:$B$500,E25))</f>
        <v/>
      </c>
      <c r="G25" s="26">
        <f>IF(E25="","",MIN(1,F25/$B$3))</f>
        <v/>
      </c>
      <c r="H25" s="15">
        <f>IF(E25="","",SUMIFS(Брони!$K$2:$K$500,Брони!$B$2:$B$500,E25,Брони!$D$2:$D$500,"&gt;="&amp;$B$2,Брони!$D$2:$D$500,"&lt;"&amp;$B$4))</f>
        <v/>
      </c>
    </row>
    <row r="26">
      <c r="A26">
        <f>IF(Настройки!$E$5="","",Настройки!$E$5)</f>
        <v/>
      </c>
      <c r="B26" s="24">
        <f>IF(Настройки!$F$5="","",Настройки!$F$5)</f>
        <v/>
      </c>
      <c r="E26" s="12">
        <f>IF(Парк!$A26="","",Парк!$A26)</f>
        <v/>
      </c>
      <c r="F26" s="25">
        <f>IF(E26="","",SUMIFS(Брони!$U$2:$U$500,Брони!$B$2:$B$500,E26))</f>
        <v/>
      </c>
      <c r="G26" s="26">
        <f>IF(E26="","",MIN(1,F26/$B$3))</f>
        <v/>
      </c>
      <c r="H26" s="15">
        <f>IF(E26="","",SUMIFS(Брони!$K$2:$K$500,Брони!$B$2:$B$500,E26,Брони!$D$2:$D$500,"&gt;="&amp;$B$2,Брони!$D$2:$D$500,"&lt;"&amp;$B$4))</f>
        <v/>
      </c>
    </row>
    <row r="27">
      <c r="A27">
        <f>IF(Настройки!$E$6="","",Настройки!$E$6)</f>
        <v/>
      </c>
      <c r="B27" s="24">
        <f>IF(Настройки!$F$6="","",Настройки!$F$6)</f>
        <v/>
      </c>
      <c r="E27" s="12">
        <f>IF(Парк!$A27="","",Парк!$A27)</f>
        <v/>
      </c>
      <c r="F27" s="25">
        <f>IF(E27="","",SUMIFS(Брони!$U$2:$U$500,Брони!$B$2:$B$500,E27))</f>
        <v/>
      </c>
      <c r="G27" s="26">
        <f>IF(E27="","",MIN(1,F27/$B$3))</f>
        <v/>
      </c>
      <c r="H27" s="15">
        <f>IF(E27="","",SUMIFS(Брони!$K$2:$K$500,Брони!$B$2:$B$500,E27,Брони!$D$2:$D$500,"&gt;="&amp;$B$2,Брони!$D$2:$D$500,"&lt;"&amp;$B$4))</f>
        <v/>
      </c>
    </row>
    <row r="28">
      <c r="E28" s="12">
        <f>IF(Парк!$A28="","",Парк!$A28)</f>
        <v/>
      </c>
      <c r="F28" s="25">
        <f>IF(E28="","",SUMIFS(Брони!$U$2:$U$500,Брони!$B$2:$B$500,E28))</f>
        <v/>
      </c>
      <c r="G28" s="26">
        <f>IF(E28="","",MIN(1,F28/$B$3))</f>
        <v/>
      </c>
      <c r="H28" s="15">
        <f>IF(E28="","",SUMIFS(Брони!$K$2:$K$500,Брони!$B$2:$B$500,E28,Брони!$D$2:$D$500,"&gt;="&amp;$B$2,Брони!$D$2:$D$500,"&lt;"&amp;$B$4))</f>
        <v/>
      </c>
    </row>
    <row r="29">
      <c r="A29" s="32" t="inlineStr">
        <is>
          <t>Как считает этот лист</t>
        </is>
      </c>
      <c r="B29" s="28" t="n"/>
      <c r="C29" s="28" t="n"/>
      <c r="E29" s="12">
        <f>IF(Парк!$A29="","",Парк!$A29)</f>
        <v/>
      </c>
      <c r="F29" s="25">
        <f>IF(E29="","",SUMIFS(Брони!$U$2:$U$500,Брони!$B$2:$B$500,E29))</f>
        <v/>
      </c>
      <c r="G29" s="26">
        <f>IF(E29="","",MIN(1,F29/$B$3))</f>
        <v/>
      </c>
      <c r="H29" s="15">
        <f>IF(E29="","",SUMIFS(Брони!$K$2:$K$500,Брони!$B$2:$B$500,E29,Брони!$D$2:$D$500,"&gt;="&amp;$B$2,Брони!$D$2:$D$500,"&lt;"&amp;$B$4))</f>
        <v/>
      </c>
    </row>
    <row r="30" ht="46" customHeight="1">
      <c r="A30" s="4" t="inlineStr">
        <is>
          <t>Загрузка — доля дней месяца, когда машина под бронью или в аренде</t>
        </is>
      </c>
      <c r="E30" s="12">
        <f>IF(Парк!$A30="","",Парк!$A30)</f>
        <v/>
      </c>
      <c r="F30" s="25">
        <f>IF(E30="","",SUMIFS(Брони!$U$2:$U$500,Брони!$B$2:$B$500,E30))</f>
        <v/>
      </c>
      <c r="G30" s="26">
        <f>IF(E30="","",MIN(1,F30/$B$3))</f>
        <v/>
      </c>
      <c r="H30" s="15">
        <f>IF(E30="","",SUMIFS(Брони!$K$2:$K$500,Брони!$B$2:$B$500,E30,Брони!$D$2:$D$500,"&gt;="&amp;$B$2,Брони!$D$2:$D$500,"&lt;"&amp;$B$4))</f>
        <v/>
      </c>
    </row>
    <row r="31" ht="46" customHeight="1">
      <c r="A31" s="4" t="inlineStr">
        <is>
          <t>Выручка — сумма аренды по броням с выдачей в этом месяце, отменённые не считаются</t>
        </is>
      </c>
      <c r="E31" s="12">
        <f>IF(Парк!$A31="","",Парк!$A31)</f>
        <v/>
      </c>
      <c r="F31" s="25">
        <f>IF(E31="","",SUMIFS(Брони!$U$2:$U$500,Брони!$B$2:$B$500,E31))</f>
        <v/>
      </c>
      <c r="G31" s="26">
        <f>IF(E31="","",MIN(1,F31/$B$3))</f>
        <v/>
      </c>
      <c r="H31" s="15">
        <f>IF(E31="","",SUMIFS(Брони!$K$2:$K$500,Брони!$B$2:$B$500,E31,Брони!$D$2:$D$500,"&gt;="&amp;$B$2,Брони!$D$2:$D$500,"&lt;"&amp;$B$4))</f>
        <v/>
      </c>
    </row>
    <row r="32" ht="46" customHeight="1">
      <c r="A32" s="4" t="inlineStr">
        <is>
          <t>Выручка — это не деньги, которые уже получены: дат оплат в шаблоне нет</t>
        </is>
      </c>
      <c r="E32" s="12">
        <f>IF(Парк!$A32="","",Парк!$A32)</f>
        <v/>
      </c>
      <c r="F32" s="25">
        <f>IF(E32="","",SUMIFS(Брони!$U$2:$U$500,Брони!$B$2:$B$500,E32))</f>
        <v/>
      </c>
      <c r="G32" s="26">
        <f>IF(E32="","",MIN(1,F32/$B$3))</f>
        <v/>
      </c>
      <c r="H32" s="15">
        <f>IF(E32="","",SUMIFS(Брони!$K$2:$K$500,Брони!$B$2:$B$500,E32,Брони!$D$2:$D$500,"&gt;="&amp;$B$2,Брони!$D$2:$D$500,"&lt;"&amp;$B$4))</f>
        <v/>
      </c>
    </row>
    <row r="33" ht="46" customHeight="1">
      <c r="A33" s="4" t="inlineStr">
        <is>
          <t>Остатки и залоги считаются по всем строкам, а не за месяц. В остатки входят и брони, по которым машину ещё не выдали</t>
        </is>
      </c>
      <c r="E33" s="12">
        <f>IF(Парк!$A33="","",Парк!$A33)</f>
        <v/>
      </c>
      <c r="F33" s="25">
        <f>IF(E33="","",SUMIFS(Брони!$U$2:$U$500,Брони!$B$2:$B$500,E33))</f>
        <v/>
      </c>
      <c r="G33" s="26">
        <f>IF(E33="","",MIN(1,F33/$B$3))</f>
        <v/>
      </c>
      <c r="H33" s="15">
        <f>IF(E33="","",SUMIFS(Брони!$K$2:$K$500,Брони!$B$2:$B$500,E33,Брони!$D$2:$D$500,"&gt;="&amp;$B$2,Брони!$D$2:$D$500,"&lt;"&amp;$B$4))</f>
        <v/>
      </c>
    </row>
    <row r="34">
      <c r="E34" s="12">
        <f>IF(Парк!$A34="","",Парк!$A34)</f>
        <v/>
      </c>
      <c r="F34" s="25">
        <f>IF(E34="","",SUMIFS(Брони!$U$2:$U$500,Брони!$B$2:$B$500,E34))</f>
        <v/>
      </c>
      <c r="G34" s="26">
        <f>IF(E34="","",MIN(1,F34/$B$3))</f>
        <v/>
      </c>
      <c r="H34" s="15">
        <f>IF(E34="","",SUMIFS(Брони!$K$2:$K$500,Брони!$B$2:$B$500,E34,Брони!$D$2:$D$500,"&gt;="&amp;$B$2,Брони!$D$2:$D$500,"&lt;"&amp;$B$4))</f>
        <v/>
      </c>
    </row>
    <row r="35">
      <c r="E35" s="12">
        <f>IF(Парк!$A35="","",Парк!$A35)</f>
        <v/>
      </c>
      <c r="F35" s="25">
        <f>IF(E35="","",SUMIFS(Брони!$U$2:$U$500,Брони!$B$2:$B$500,E35))</f>
        <v/>
      </c>
      <c r="G35" s="26">
        <f>IF(E35="","",MIN(1,F35/$B$3))</f>
        <v/>
      </c>
      <c r="H35" s="15">
        <f>IF(E35="","",SUMIFS(Брони!$K$2:$K$500,Брони!$B$2:$B$500,E35,Брони!$D$2:$D$500,"&gt;="&amp;$B$2,Брони!$D$2:$D$500,"&lt;"&amp;$B$4))</f>
        <v/>
      </c>
    </row>
    <row r="36">
      <c r="E36" s="12">
        <f>IF(Парк!$A36="","",Парк!$A36)</f>
        <v/>
      </c>
      <c r="F36" s="25">
        <f>IF(E36="","",SUMIFS(Брони!$U$2:$U$500,Брони!$B$2:$B$500,E36))</f>
        <v/>
      </c>
      <c r="G36" s="26">
        <f>IF(E36="","",MIN(1,F36/$B$3))</f>
        <v/>
      </c>
      <c r="H36" s="15">
        <f>IF(E36="","",SUMIFS(Брони!$K$2:$K$500,Брони!$B$2:$B$500,E36,Брони!$D$2:$D$500,"&gt;="&amp;$B$2,Брони!$D$2:$D$500,"&lt;"&amp;$B$4))</f>
        <v/>
      </c>
    </row>
    <row r="37">
      <c r="E37" s="12">
        <f>IF(Парк!$A37="","",Парк!$A37)</f>
        <v/>
      </c>
      <c r="F37" s="25">
        <f>IF(E37="","",SUMIFS(Брони!$U$2:$U$500,Брони!$B$2:$B$500,E37))</f>
        <v/>
      </c>
      <c r="G37" s="26">
        <f>IF(E37="","",MIN(1,F37/$B$3))</f>
        <v/>
      </c>
      <c r="H37" s="15">
        <f>IF(E37="","",SUMIFS(Брони!$K$2:$K$500,Брони!$B$2:$B$500,E37,Брони!$D$2:$D$500,"&gt;="&amp;$B$2,Брони!$D$2:$D$500,"&lt;"&amp;$B$4))</f>
        <v/>
      </c>
    </row>
    <row r="38">
      <c r="E38" s="12">
        <f>IF(Парк!$A38="","",Парк!$A38)</f>
        <v/>
      </c>
      <c r="F38" s="25">
        <f>IF(E38="","",SUMIFS(Брони!$U$2:$U$500,Брони!$B$2:$B$500,E38))</f>
        <v/>
      </c>
      <c r="G38" s="26">
        <f>IF(E38="","",MIN(1,F38/$B$3))</f>
        <v/>
      </c>
      <c r="H38" s="15">
        <f>IF(E38="","",SUMIFS(Брони!$K$2:$K$500,Брони!$B$2:$B$500,E38,Брони!$D$2:$D$500,"&gt;="&amp;$B$2,Брони!$D$2:$D$500,"&lt;"&amp;$B$4))</f>
        <v/>
      </c>
    </row>
    <row r="39">
      <c r="E39" s="12">
        <f>IF(Парк!$A39="","",Парк!$A39)</f>
        <v/>
      </c>
      <c r="F39" s="25">
        <f>IF(E39="","",SUMIFS(Брони!$U$2:$U$500,Брони!$B$2:$B$500,E39))</f>
        <v/>
      </c>
      <c r="G39" s="26">
        <f>IF(E39="","",MIN(1,F39/$B$3))</f>
        <v/>
      </c>
      <c r="H39" s="15">
        <f>IF(E39="","",SUMIFS(Брони!$K$2:$K$500,Брони!$B$2:$B$500,E39,Брони!$D$2:$D$500,"&gt;="&amp;$B$2,Брони!$D$2:$D$500,"&lt;"&amp;$B$4))</f>
        <v/>
      </c>
    </row>
    <row r="40">
      <c r="E40" s="12">
        <f>IF(Парк!$A40="","",Парк!$A40)</f>
        <v/>
      </c>
      <c r="F40" s="25">
        <f>IF(E40="","",SUMIFS(Брони!$U$2:$U$500,Брони!$B$2:$B$500,E40))</f>
        <v/>
      </c>
      <c r="G40" s="26">
        <f>IF(E40="","",MIN(1,F40/$B$3))</f>
        <v/>
      </c>
      <c r="H40" s="15">
        <f>IF(E40="","",SUMIFS(Брони!$K$2:$K$500,Брони!$B$2:$B$500,E40,Брони!$D$2:$D$500,"&gt;="&amp;$B$2,Брони!$D$2:$D$500,"&lt;"&amp;$B$4))</f>
        <v/>
      </c>
    </row>
    <row r="41">
      <c r="E41" s="12">
        <f>IF(Парк!$A41="","",Парк!$A41)</f>
        <v/>
      </c>
      <c r="F41" s="25">
        <f>IF(E41="","",SUMIFS(Брони!$U$2:$U$500,Брони!$B$2:$B$500,E41))</f>
        <v/>
      </c>
      <c r="G41" s="26">
        <f>IF(E41="","",MIN(1,F41/$B$3))</f>
        <v/>
      </c>
      <c r="H41" s="15">
        <f>IF(E41="","",SUMIFS(Брони!$K$2:$K$500,Брони!$B$2:$B$500,E41,Брони!$D$2:$D$500,"&gt;="&amp;$B$2,Брони!$D$2:$D$500,"&lt;"&amp;$B$4))</f>
        <v/>
      </c>
    </row>
    <row r="42">
      <c r="E42" s="12">
        <f>IF(Парк!$A42="","",Парк!$A42)</f>
        <v/>
      </c>
      <c r="F42" s="25">
        <f>IF(E42="","",SUMIFS(Брони!$U$2:$U$500,Брони!$B$2:$B$500,E42))</f>
        <v/>
      </c>
      <c r="G42" s="26">
        <f>IF(E42="","",MIN(1,F42/$B$3))</f>
        <v/>
      </c>
      <c r="H42" s="15">
        <f>IF(E42="","",SUMIFS(Брони!$K$2:$K$500,Брони!$B$2:$B$500,E42,Брони!$D$2:$D$500,"&gt;="&amp;$B$2,Брони!$D$2:$D$500,"&lt;"&amp;$B$4))</f>
        <v/>
      </c>
    </row>
    <row r="43">
      <c r="E43" s="12">
        <f>IF(Парк!$A43="","",Парк!$A43)</f>
        <v/>
      </c>
      <c r="F43" s="25">
        <f>IF(E43="","",SUMIFS(Брони!$U$2:$U$500,Брони!$B$2:$B$500,E43))</f>
        <v/>
      </c>
      <c r="G43" s="26">
        <f>IF(E43="","",MIN(1,F43/$B$3))</f>
        <v/>
      </c>
      <c r="H43" s="15">
        <f>IF(E43="","",SUMIFS(Брони!$K$2:$K$500,Брони!$B$2:$B$500,E43,Брони!$D$2:$D$500,"&gt;="&amp;$B$2,Брони!$D$2:$D$500,"&lt;"&amp;$B$4))</f>
        <v/>
      </c>
    </row>
    <row r="44">
      <c r="E44" s="12">
        <f>IF(Парк!$A44="","",Парк!$A44)</f>
        <v/>
      </c>
      <c r="F44" s="25">
        <f>IF(E44="","",SUMIFS(Брони!$U$2:$U$500,Брони!$B$2:$B$500,E44))</f>
        <v/>
      </c>
      <c r="G44" s="26">
        <f>IF(E44="","",MIN(1,F44/$B$3))</f>
        <v/>
      </c>
      <c r="H44" s="15">
        <f>IF(E44="","",SUMIFS(Брони!$K$2:$K$500,Брони!$B$2:$B$500,E44,Брони!$D$2:$D$500,"&gt;="&amp;$B$2,Брони!$D$2:$D$500,"&lt;"&amp;$B$4))</f>
        <v/>
      </c>
    </row>
    <row r="45">
      <c r="E45" s="12">
        <f>IF(Парк!$A45="","",Парк!$A45)</f>
        <v/>
      </c>
      <c r="F45" s="25">
        <f>IF(E45="","",SUMIFS(Брони!$U$2:$U$500,Брони!$B$2:$B$500,E45))</f>
        <v/>
      </c>
      <c r="G45" s="26">
        <f>IF(E45="","",MIN(1,F45/$B$3))</f>
        <v/>
      </c>
      <c r="H45" s="15">
        <f>IF(E45="","",SUMIFS(Брони!$K$2:$K$500,Брони!$B$2:$B$500,E45,Брони!$D$2:$D$500,"&gt;="&amp;$B$2,Брони!$D$2:$D$500,"&lt;"&amp;$B$4))</f>
        <v/>
      </c>
    </row>
    <row r="46">
      <c r="E46" s="12">
        <f>IF(Парк!$A46="","",Парк!$A46)</f>
        <v/>
      </c>
      <c r="F46" s="25">
        <f>IF(E46="","",SUMIFS(Брони!$U$2:$U$500,Брони!$B$2:$B$500,E46))</f>
        <v/>
      </c>
      <c r="G46" s="26">
        <f>IF(E46="","",MIN(1,F46/$B$3))</f>
        <v/>
      </c>
      <c r="H46" s="15">
        <f>IF(E46="","",SUMIFS(Брони!$K$2:$K$500,Брони!$B$2:$B$500,E46,Брони!$D$2:$D$500,"&gt;="&amp;$B$2,Брони!$D$2:$D$500,"&lt;"&amp;$B$4))</f>
        <v/>
      </c>
    </row>
    <row r="47">
      <c r="E47" s="12">
        <f>IF(Парк!$A47="","",Парк!$A47)</f>
        <v/>
      </c>
      <c r="F47" s="25">
        <f>IF(E47="","",SUMIFS(Брони!$U$2:$U$500,Брони!$B$2:$B$500,E47))</f>
        <v/>
      </c>
      <c r="G47" s="26">
        <f>IF(E47="","",MIN(1,F47/$B$3))</f>
        <v/>
      </c>
      <c r="H47" s="15">
        <f>IF(E47="","",SUMIFS(Брони!$K$2:$K$500,Брони!$B$2:$B$500,E47,Брони!$D$2:$D$500,"&gt;="&amp;$B$2,Брони!$D$2:$D$500,"&lt;"&amp;$B$4))</f>
        <v/>
      </c>
    </row>
    <row r="48">
      <c r="E48" s="12">
        <f>IF(Парк!$A48="","",Парк!$A48)</f>
        <v/>
      </c>
      <c r="F48" s="25">
        <f>IF(E48="","",SUMIFS(Брони!$U$2:$U$500,Брони!$B$2:$B$500,E48))</f>
        <v/>
      </c>
      <c r="G48" s="26">
        <f>IF(E48="","",MIN(1,F48/$B$3))</f>
        <v/>
      </c>
      <c r="H48" s="15">
        <f>IF(E48="","",SUMIFS(Брони!$K$2:$K$500,Брони!$B$2:$B$500,E48,Брони!$D$2:$D$500,"&gt;="&amp;$B$2,Брони!$D$2:$D$500,"&lt;"&amp;$B$4))</f>
        <v/>
      </c>
    </row>
    <row r="49">
      <c r="E49" s="12">
        <f>IF(Парк!$A49="","",Парк!$A49)</f>
        <v/>
      </c>
      <c r="F49" s="25">
        <f>IF(E49="","",SUMIFS(Брони!$U$2:$U$500,Брони!$B$2:$B$500,E49))</f>
        <v/>
      </c>
      <c r="G49" s="26">
        <f>IF(E49="","",MIN(1,F49/$B$3))</f>
        <v/>
      </c>
      <c r="H49" s="15">
        <f>IF(E49="","",SUMIFS(Брони!$K$2:$K$500,Брони!$B$2:$B$500,E49,Брони!$D$2:$D$500,"&gt;="&amp;$B$2,Брони!$D$2:$D$500,"&lt;"&amp;$B$4))</f>
        <v/>
      </c>
    </row>
    <row r="50">
      <c r="E50" s="12">
        <f>IF(Парк!$A50="","",Парк!$A50)</f>
        <v/>
      </c>
      <c r="F50" s="25">
        <f>IF(E50="","",SUMIFS(Брони!$U$2:$U$500,Брони!$B$2:$B$500,E50))</f>
        <v/>
      </c>
      <c r="G50" s="26">
        <f>IF(E50="","",MIN(1,F50/$B$3))</f>
        <v/>
      </c>
      <c r="H50" s="15">
        <f>IF(E50="","",SUMIFS(Брони!$K$2:$K$500,Брони!$B$2:$B$500,E50,Брони!$D$2:$D$500,"&gt;="&amp;$B$2,Брони!$D$2:$D$500,"&lt;"&amp;$B$4))</f>
        <v/>
      </c>
    </row>
    <row r="51">
      <c r="E51" s="12">
        <f>IF(Парк!$A51="","",Парк!$A51)</f>
        <v/>
      </c>
      <c r="F51" s="25">
        <f>IF(E51="","",SUMIFS(Брони!$U$2:$U$500,Брони!$B$2:$B$500,E51))</f>
        <v/>
      </c>
      <c r="G51" s="26">
        <f>IF(E51="","",MIN(1,F51/$B$3))</f>
        <v/>
      </c>
      <c r="H51" s="15">
        <f>IF(E51="","",SUMIFS(Брони!$K$2:$K$500,Брони!$B$2:$B$500,E51,Брони!$D$2:$D$500,"&gt;="&amp;$B$2,Брони!$D$2:$D$500,"&lt;"&amp;$B$4))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conditionalFormatting sqref="B13:B20">
    <cfRule type="expression" priority="1" dxfId="3">
      <formula>B13&gt;0</formula>
    </cfRule>
  </conditionalFormatting>
  <dataValidations count="1">
    <dataValidation sqref="B1" showDropDown="0" showInputMessage="0" showErrorMessage="1" allowBlank="1" errorTitle="Проверьте значение" error="Введите дату, например 2026-10-12" type="custom">
      <formula1>ISNUMBER(B1)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4" customWidth="1" min="3" max="3"/>
    <col width="3" customWidth="1" min="4" max="4"/>
    <col width="18" customWidth="1" min="5" max="5"/>
    <col width="18" customWidth="1" min="6" max="6"/>
    <col width="3" customWidth="1" min="7" max="7"/>
    <col width="20" customWidth="1" min="8" max="8"/>
    <col width="14" customWidth="1" min="9" max="9"/>
    <col width="14" customWidth="1" min="10" max="10"/>
    <col width="22" customWidth="1" min="11" max="11"/>
    <col width="16" customWidth="1" min="12" max="12"/>
    <col width="30" customWidth="1" min="13" max="13"/>
    <col width="10" customWidth="1" min="14" max="14"/>
  </cols>
  <sheetData>
    <row r="1" ht="48" customHeight="1">
      <c r="A1" s="32" t="inlineStr">
        <is>
          <t>Настройка</t>
        </is>
      </c>
      <c r="B1" s="32" t="inlineStr">
        <is>
          <t>Значение</t>
        </is>
      </c>
      <c r="C1" s="32" t="inlineStr">
        <is>
          <t>Пояснение</t>
        </is>
      </c>
      <c r="E1" s="7" t="inlineStr">
        <is>
          <t>Виды начислений</t>
        </is>
      </c>
      <c r="F1" s="7" t="inlineStr">
        <is>
          <t>Выписка внесена по</t>
        </is>
      </c>
      <c r="H1" s="7" t="inlineStr">
        <is>
          <t>Статусы (на них стоят формулы; не править)</t>
        </is>
      </c>
      <c r="I1" s="7" t="inlineStr">
        <is>
          <t>Кто платит (не править)</t>
        </is>
      </c>
      <c r="J1" s="7" t="inlineStr">
        <is>
          <t>Статус штрафа</t>
        </is>
      </c>
      <c r="K1" s="7" t="inlineStr">
        <is>
          <t>Способ залога</t>
        </is>
      </c>
      <c r="L1" s="7" t="inlineStr">
        <is>
          <t>Ручной статус (не править)</t>
        </is>
      </c>
      <c r="M1" s="7" t="inlineStr">
        <is>
          <t>Счёт дней (не править)</t>
        </is>
      </c>
      <c r="N1" s="7" t="inlineStr">
        <is>
          <t>Да / Нет</t>
        </is>
      </c>
    </row>
    <row r="2">
      <c r="A2" s="4" t="inlineStr">
        <is>
          <t>Название компании</t>
        </is>
      </c>
      <c r="B2" s="33" t="n"/>
      <c r="E2" s="10" t="inlineStr">
        <is>
          <t>Salik</t>
        </is>
      </c>
      <c r="F2" s="18" t="n"/>
      <c r="H2" s="12" t="inlineStr">
        <is>
          <t>Бронь</t>
        </is>
      </c>
      <c r="I2" s="12" t="inlineStr">
        <is>
          <t>Клиент</t>
        </is>
      </c>
      <c r="J2" s="10" t="inlineStr">
        <is>
          <t>Открыт</t>
        </is>
      </c>
      <c r="K2" s="10" t="inlineStr">
        <is>
          <t>Наличные</t>
        </is>
      </c>
      <c r="L2" s="12" t="inlineStr">
        <is>
          <t>Свободна</t>
        </is>
      </c>
      <c r="M2" s="12" t="inlineStr">
        <is>
          <t>Сутки по 24 часа</t>
        </is>
      </c>
      <c r="N2" s="12" t="inlineStr">
        <is>
          <t>Да</t>
        </is>
      </c>
    </row>
    <row r="3" ht="15" customHeight="1">
      <c r="A3" s="4" t="inlineStr">
        <is>
          <t>Валюта</t>
        </is>
      </c>
      <c r="B3" s="33" t="inlineStr">
        <is>
          <t>AED</t>
        </is>
      </c>
      <c r="C3" s="6" t="inlineStr">
        <is>
          <t>Показывается в «Сводке». Суммы листы не пересчитывают</t>
        </is>
      </c>
      <c r="E3" s="10" t="inlineStr">
        <is>
          <t>DARB</t>
        </is>
      </c>
      <c r="F3" s="18" t="n"/>
      <c r="H3" s="12" t="inlineStr">
        <is>
          <t>Выдана</t>
        </is>
      </c>
      <c r="I3" s="12" t="inlineStr">
        <is>
          <t>Компания</t>
        </is>
      </c>
      <c r="J3" s="10" t="inlineStr">
        <is>
          <t>Оплачен</t>
        </is>
      </c>
      <c r="K3" s="10" t="inlineStr">
        <is>
          <t>Блокировка на карте</t>
        </is>
      </c>
      <c r="L3" s="12" t="inlineStr">
        <is>
          <t>В ремонте</t>
        </is>
      </c>
      <c r="M3" s="12" t="inlineStr">
        <is>
          <t>Календарные даты включительно</t>
        </is>
      </c>
      <c r="N3" s="12" t="inlineStr">
        <is>
          <t>Нет</t>
        </is>
      </c>
    </row>
    <row r="4" ht="15" customHeight="1">
      <c r="A4" s="4" t="inlineStr">
        <is>
          <t>Название налога</t>
        </is>
      </c>
      <c r="B4" s="33" t="inlineStr">
        <is>
          <t>НДС</t>
        </is>
      </c>
      <c r="C4" s="6" t="inlineStr">
        <is>
          <t>Становится заголовком столбца налога в «Бронях»</t>
        </is>
      </c>
      <c r="E4" s="10" t="inlineStr">
        <is>
          <t>Парковка</t>
        </is>
      </c>
      <c r="F4" s="18" t="n"/>
      <c r="H4" s="12" t="inlineStr">
        <is>
          <t>Возвращена</t>
        </is>
      </c>
      <c r="K4" s="10" t="inlineStr">
        <is>
          <t>Карта</t>
        </is>
      </c>
      <c r="L4" s="12" t="inlineStr">
        <is>
          <t>На стоянке</t>
        </is>
      </c>
    </row>
    <row r="5" ht="45" customHeight="1">
      <c r="A5" s="4" t="inlineStr">
        <is>
          <t>Ставка налога</t>
        </is>
      </c>
      <c r="B5" s="34" t="n">
        <v>0.05</v>
      </c>
      <c r="C5" s="5" t="inlineStr">
        <is>
          <t>Применяется к сумме аренды в «Бронях». Не зарегистрированы по НДС? Сотрите ставку: налог не начислится. Когда регистрироваться, смотрите в гиде: ссылка в этой ячейке</t>
        </is>
      </c>
      <c r="E5" s="10" t="inlineStr">
        <is>
          <t>Штраф</t>
        </is>
      </c>
      <c r="F5" s="18" t="n"/>
      <c r="H5" s="12" t="inlineStr">
        <is>
          <t>Отменена</t>
        </is>
      </c>
      <c r="K5" s="10" t="inlineStr">
        <is>
          <t>Перевод</t>
        </is>
      </c>
    </row>
    <row r="6" ht="30" customHeight="1">
      <c r="A6" s="4" t="inlineStr">
        <is>
          <t>Счёт дней</t>
        </is>
      </c>
      <c r="B6" s="33" t="inlineStr">
        <is>
          <t>Сутки по 24 часа</t>
        </is>
      </c>
      <c r="C6" s="6" t="inlineStr">
        <is>
          <t>Сутки по 24 часа: начатые сутки считаются целыми. Календарные даты: считаются и дата выдачи, и дата возврата</t>
        </is>
      </c>
      <c r="E6" s="10" t="inlineStr">
        <is>
          <t>Другое</t>
        </is>
      </c>
      <c r="F6" s="18" t="n"/>
    </row>
    <row r="7" ht="30" customHeight="1">
      <c r="A7" s="4" t="inlineStr">
        <is>
          <t>За сколько дней подсвечивать срок в «Парке»</t>
        </is>
      </c>
      <c r="B7" s="35" t="n">
        <v>60</v>
      </c>
      <c r="C7" s="6" t="inlineStr">
        <is>
          <t>Даты страховки, регистрации и обслуживания желтеют за столько дней до срока и краснеют, когда срок прошёл</t>
        </is>
      </c>
      <c r="F7" s="30" t="inlineStr">
        <is>
          <t>Обновляйте дату с каждой внесённой выпиской</t>
        </is>
      </c>
    </row>
    <row r="8" ht="45" customHeight="1">
      <c r="A8" s="4" t="inlineStr">
        <is>
          <t>Срок возврата залога, дней</t>
        </is>
      </c>
      <c r="B8" s="35" t="n"/>
      <c r="C8" s="6" t="inlineStr">
        <is>
          <t>По умолчанию пусто: возьмите число из своего договора аренды. Тогда «Залоги» подсветят деньги, которые лежат дольше этого срока после возврата</t>
        </is>
      </c>
    </row>
    <row r="9" ht="15" customHeight="1">
      <c r="A9" s="4" t="inlineStr">
        <is>
          <t>TRN (налоговый номер)</t>
        </is>
      </c>
      <c r="B9" s="36" t="n"/>
      <c r="C9" s="6" t="inlineStr">
        <is>
          <t>Для компаний, зарегистрированных по НДС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dataValidations count="3">
    <dataValidation sqref="B5" showDropDown="0" showInputMessage="0" showErrorMessage="1" allowBlank="1" errorTitle="Проверьте значение" error="Введите ставку в процентах, например 5%" type="decimal" operator="between">
      <formula1>0</formula1>
      <formula2>1</formula2>
    </dataValidation>
    <dataValidation sqref="B6" showDropDown="0" showInputMessage="0" showErrorMessage="1" allowBlank="1" errorTitle="Проверьте значение" error="Выберите значение из списка" type="list">
      <formula1>$M$2:$M$3</formula1>
    </dataValidation>
    <dataValidation sqref="B7:B8" showDropDown="0" showInputMessage="0" showErrorMessage="1" allowBlank="1" errorTitle="Проверьте значение" error="Введите целое число" type="whole" operator="greaterThanOrEqual">
      <formula1>0</formula1>
    </dataValidation>
  </dataValidations>
  <hyperlinks>
    <hyperlink xmlns:r="http://schemas.openxmlformats.org/officeDocument/2006/relationships" ref="C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doIT, do-it.agency</dc:creator>
  <dc:title xmlns:dc="http://purl.org/dc/elements/1.1/">Шаблон для проката авто: вариант для ОАЭ</dc:title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2026-10-10T19:17:54Z</dcterms:modified>
  <cp:lastModifiedBy>doIT, do-it.agency</cp:lastModifiedBy>
</cp:coreProperties>
</file>